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10" activeTab="5"/>
  </bookViews>
  <sheets>
    <sheet name="Bieu 93" sheetId="1" r:id="rId1"/>
    <sheet name="Bieu 94" sheetId="2" r:id="rId2"/>
    <sheet name="Bieu 95" sheetId="3" state="hidden" r:id="rId3"/>
    <sheet name="Sheet2" sheetId="4" state="hidden" r:id="rId4"/>
    <sheet name="95" sheetId="5" state="hidden" r:id="rId5"/>
    <sheet name="bieu 095" sheetId="6" r:id="rId6"/>
    <sheet name="Sheet1" sheetId="7" state="hidden" r:id="rId7"/>
    <sheet name="Sheet3" sheetId="8" state="hidden" r:id="rId8"/>
    <sheet name="ty le" sheetId="9" state="hidden" r:id="rId9"/>
  </sheets>
  <externalReferences>
    <externalReference r:id="rId12"/>
  </externalReferences>
  <definedNames>
    <definedName name="_xlnm.Print_Titles" localSheetId="2">'Bieu 95'!$5:$7</definedName>
  </definedNames>
  <calcPr fullCalcOnLoad="1"/>
</workbook>
</file>

<file path=xl/comments4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5.xml><?xml version="1.0" encoding="utf-8"?>
<comments xmlns="http://schemas.openxmlformats.org/spreadsheetml/2006/main">
  <authors>
    <author>Nguyen </author>
    <author>Nguyen</author>
  </authors>
  <commentList>
    <comment ref="K8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bổ sung cho NSc ấp dưới</t>
        </r>
      </text>
    </comment>
    <comment ref="K11" authorId="0">
      <text>
        <r>
          <rPr>
            <b/>
            <sz val="9"/>
            <rFont val="Tahoma"/>
            <family val="2"/>
          </rPr>
          <t>Nguyen :</t>
        </r>
        <r>
          <rPr>
            <sz val="9"/>
            <rFont val="Tahoma"/>
            <family val="2"/>
          </rPr>
          <t xml:space="preserve">
XDCB</t>
        </r>
      </text>
    </comment>
    <comment ref="D17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2.009.840.455 xã</t>
        </r>
      </text>
    </comment>
    <comment ref="D2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524.164,796 xa</t>
        </r>
      </text>
    </comment>
    <comment ref="D36" authorId="1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xã 1,014,051,455</t>
        </r>
      </text>
    </comment>
  </commentList>
</comments>
</file>

<file path=xl/comments6.xml><?xml version="1.0" encoding="utf-8"?>
<comments xmlns="http://schemas.openxmlformats.org/spreadsheetml/2006/main">
  <authors>
    <author>Nguyen</author>
  </authors>
  <commentList>
    <comment ref="E18" authorId="0">
      <text>
        <r>
          <rPr>
            <b/>
            <sz val="9"/>
            <rFont val="Tahoma"/>
            <family val="2"/>
          </rPr>
          <t>Nguyen:</t>
        </r>
        <r>
          <rPr>
            <sz val="9"/>
            <rFont val="Tahoma"/>
            <family val="2"/>
          </rPr>
          <t xml:space="preserve">
4.741.707.000đ tiet kiem chi tx c ho đầu tư chuỷen xuong linh vực, cộng vào QLHC vì theo tỉnh khong có. khi cong khai t hi cho len</t>
        </r>
      </text>
    </comment>
  </commentList>
</comments>
</file>

<file path=xl/sharedStrings.xml><?xml version="1.0" encoding="utf-8"?>
<sst xmlns="http://schemas.openxmlformats.org/spreadsheetml/2006/main" count="1067" uniqueCount="305">
  <si>
    <t>STT</t>
  </si>
  <si>
    <t>Tổng số</t>
  </si>
  <si>
    <t xml:space="preserve"> Bổ sung trong năm</t>
  </si>
  <si>
    <t>I</t>
  </si>
  <si>
    <t>Chi thường xuyên</t>
  </si>
  <si>
    <t>II</t>
  </si>
  <si>
    <t>NỘI DUNG</t>
  </si>
  <si>
    <t>A</t>
  </si>
  <si>
    <t>B</t>
  </si>
  <si>
    <t>TỔNG CHI NSĐP</t>
  </si>
  <si>
    <t>CHI CÂN ĐỐI NSĐP</t>
  </si>
  <si>
    <t>Chi đầu tư phát triển</t>
  </si>
  <si>
    <t xml:space="preserve"> Chi SN kinh tế </t>
  </si>
  <si>
    <t>Chi SN giáo dục đào tạo - dạy nghề</t>
  </si>
  <si>
    <t xml:space="preserve"> Chi SN y tế</t>
  </si>
  <si>
    <t xml:space="preserve"> Chi SN khoa học công nghệ</t>
  </si>
  <si>
    <t xml:space="preserve"> Chi SN hoạt động môi trường</t>
  </si>
  <si>
    <t xml:space="preserve"> Chi SN văn hoá thông tin</t>
  </si>
  <si>
    <t xml:space="preserve"> Chi SN thể dục thể thao</t>
  </si>
  <si>
    <t xml:space="preserve"> Chi SN phát thanh truyền hình</t>
  </si>
  <si>
    <t xml:space="preserve"> Chi đảm bảo XH</t>
  </si>
  <si>
    <t>Chi quản lý hành chính</t>
  </si>
  <si>
    <t xml:space="preserve"> Chi an ninh </t>
  </si>
  <si>
    <t xml:space="preserve"> Chi quốc phòng</t>
  </si>
  <si>
    <t>III</t>
  </si>
  <si>
    <t>Dự phòng ngân sách</t>
  </si>
  <si>
    <t>Chương trình mục tiêu quốc gia</t>
  </si>
  <si>
    <t>1.1</t>
  </si>
  <si>
    <t>Vốn đầu tư</t>
  </si>
  <si>
    <t>Vốn sự nghiệp</t>
  </si>
  <si>
    <t>1.2</t>
  </si>
  <si>
    <t>Chi cho các chương trình mục tiêu, nhiệm vụ</t>
  </si>
  <si>
    <t>-</t>
  </si>
  <si>
    <t>KP hỗ trợ tiền điện hộ nghèo, hộ chính sách xã hội năm 2017</t>
  </si>
  <si>
    <t>KP thực hiện CS đối với người có uy tín trong đồng bào dân tộc thiểu số năm 2016</t>
  </si>
  <si>
    <t xml:space="preserve">Chính sách hỗ trợ miễn giảm học phí, chi phí học tập cho học sinh, sinh viên thuộc hộ nghèo, hộ cận nghèo theo Nghị định số 86/2015/NĐ-CP ngày 02 tháng 10 năm 2015 của Chính phủ </t>
  </si>
  <si>
    <t>Chính sách hỗ trợ học sinh và trường phổ thông ở xã, thôn đặc biệt khó khăn</t>
  </si>
  <si>
    <t>Chính sách hỗ trợ trẻ ăn trưa 3-5 tuổi</t>
  </si>
  <si>
    <t>Chính sách hỗ trợ học bổng, chi phí học tập cho học sinh khuyết tật</t>
  </si>
  <si>
    <t>Chính sách hỗ trợ đối tượng bảo trợ xã hội</t>
  </si>
  <si>
    <t>Kinh phí thực hiện nhiệm vụ đảm bảo trật tự ATGT</t>
  </si>
  <si>
    <t>Chương trình mục tiêu đảm bảo trật tự ATGT, phòng cháy, chữa cháy, phòng chống tội phạm và ma túy</t>
  </si>
  <si>
    <t>SO SÁNH TH VỚI DT (%)</t>
  </si>
  <si>
    <t xml:space="preserve"> -</t>
  </si>
  <si>
    <t>Vốn sự nghiệp (chi tiết theo dự án, hợp phần hoặc nhiệm vụ)</t>
  </si>
  <si>
    <t>Nguồn phân cấp cho huyện điều hành</t>
  </si>
  <si>
    <t>Hỗ trợ xây dựng trường chuẩn</t>
  </si>
  <si>
    <t>Nguồn thu tiền sử dụng đất</t>
  </si>
  <si>
    <t>CHI BỔ SUNG CÓ MỤC TIÊU TỪ NS TỈNH CHO NGÂN SÁCH HUYỆN</t>
  </si>
  <si>
    <t>Nguồn năm 2018 chuyển sang</t>
  </si>
  <si>
    <t>DT giao đầu năm 2019</t>
  </si>
  <si>
    <t>6=5/1</t>
  </si>
  <si>
    <t xml:space="preserve">DỰ TOÁN </t>
  </si>
  <si>
    <t>Chương trình MTQG giảm nghèo</t>
  </si>
  <si>
    <t>Chương trình MTQG xây dựng nông thôn mới</t>
  </si>
  <si>
    <t>Đơn vị: 1000 đồng</t>
  </si>
  <si>
    <t>UBND HUYỆN BA BỂ</t>
  </si>
  <si>
    <t>Nguồn tiết kiệm chi thường xuyên</t>
  </si>
  <si>
    <t>Kinh phí thực hiện chính sách hỗ trợ người quản lý học sinh theo NQ54</t>
  </si>
  <si>
    <t>Kinh phí thực hiện thống kê, rà soát,, cập nhật giữ liệu thông tin thị  trường lao động</t>
  </si>
  <si>
    <t>Kinh phí thực hiện cuộc vận động toàn dân đoàn kết xây dựng đời sống văn hóa ở khu dân cư</t>
  </si>
  <si>
    <t>Hỗ trợ công tác giảm nghèo cấp xã</t>
  </si>
  <si>
    <t>Kinh phí đào tạo, bồi dưỡng cán bộ, công chức</t>
  </si>
  <si>
    <t>Kinh phí sửa xe ô tô</t>
  </si>
  <si>
    <t>Hỗ trợ các xã xây dựng Nông thôn mới</t>
  </si>
  <si>
    <t xml:space="preserve">Hỗ trợ khác </t>
  </si>
  <si>
    <t>Kinh phí hỗ trợ sản phẩm, dịch vụ công ích thủy lợi năm 2019</t>
  </si>
  <si>
    <t>Chính sách hỗ trợ phụ nữ nghèo sinh con đúng chính sách</t>
  </si>
  <si>
    <t>Kinh phí quản lý và sử dụng đất trồng lúa theo Nghị định 35/2015/NĐ-CP</t>
  </si>
  <si>
    <t>Chương trình 30a</t>
  </si>
  <si>
    <t>Chương trình 135</t>
  </si>
  <si>
    <t>+</t>
  </si>
  <si>
    <t>Dự án 1: Chương trình 30a</t>
  </si>
  <si>
    <t>Tiểu dự án 3 hỗ trợ phát triển sản xuất, đa dạng hóa sinh kế và nhân rộng mô hình giảm nghèo bền vững</t>
  </si>
  <si>
    <t>Hỗ trợ phát triển sản xuất</t>
  </si>
  <si>
    <t>Nhân rộng mô hình giảm nghèo</t>
  </si>
  <si>
    <t>Dự án 4 - Truyền thông và giảm nghèo về thông tin</t>
  </si>
  <si>
    <t>Dự án 5 - Nâng cao năng lực, giám sát đánh giá Chương trình</t>
  </si>
  <si>
    <t>Dự án 2 - Chương trình 135</t>
  </si>
  <si>
    <t>Tiểu dự án 1- Duy tu, bảo dưỡng công trình</t>
  </si>
  <si>
    <t>Dự án hỗ trợ phát triển sản xuất liên kết theo chuỗi giá trị</t>
  </si>
  <si>
    <t>Kinh phí quản lý</t>
  </si>
  <si>
    <t>Đào tạo nghề cho lao động nông thôn</t>
  </si>
  <si>
    <t>Xử lý cải thiện môi trường nông thôn</t>
  </si>
  <si>
    <t>Chương trình SEQAP</t>
  </si>
  <si>
    <t>Hỗ trợ tập đoàn than KS</t>
  </si>
  <si>
    <t>Tiểu dự án 4 hỗ trợ người lao động đi làm việc ở nước ngoài</t>
  </si>
  <si>
    <t>Tiểu dự án 2- hỗ trợ phát triển sản xuất, đa dạng hóa mô hình sinh kế</t>
  </si>
  <si>
    <t>Kinh phí thực hiện người có công</t>
  </si>
  <si>
    <t>2.1</t>
  </si>
  <si>
    <t>2.2</t>
  </si>
  <si>
    <t>Nguồn sử dụng đất</t>
  </si>
  <si>
    <t>(Kèm theo Quyết định số:          /QĐ-UBND ngày     tháng 7 năm 2019 của UBND huyện Ba Bể)</t>
  </si>
  <si>
    <t xml:space="preserve">Nội dung </t>
  </si>
  <si>
    <t>Dự toán</t>
  </si>
  <si>
    <t>Thu NSĐP được hưởng theo phân cấp</t>
  </si>
  <si>
    <t>Thu NSĐP hưởng 100%</t>
  </si>
  <si>
    <t>Thu NSĐP hưởng từ các khoản thu phân chia</t>
  </si>
  <si>
    <t>Thu chuyển nguồn từ năm trước chuyển sang</t>
  </si>
  <si>
    <t xml:space="preserve">Tổng chi cân đối NSĐP </t>
  </si>
  <si>
    <t>Chi các chương trình mục tiêu quốc gia</t>
  </si>
  <si>
    <t>Biểu số: 95/CK-NSNN</t>
  </si>
  <si>
    <t xml:space="preserve"> ƯỚC THỰC HIỆN CHI NGÂN SÁCH ĐỊA PHƯƠNG 6 THÁNG NĂM 2019</t>
  </si>
  <si>
    <t>Biểu 93/CK-NSNN</t>
  </si>
  <si>
    <t>ƯỚC THỰC HIỆN 6 THÁNG NĂM 2019</t>
  </si>
  <si>
    <t>Dự toán năm</t>
  </si>
  <si>
    <t>So sánh ước thực hiện so với DT %</t>
  </si>
  <si>
    <t>3=2/1</t>
  </si>
  <si>
    <t>Chi từ nguồn bổ sung có mục tiêu từ NS cấp tỉnh</t>
  </si>
  <si>
    <t>TỔNG NGUỒN THU NSĐP TRÊN ĐỊA BÀN</t>
  </si>
  <si>
    <t>Thu cân đối NSNN</t>
  </si>
  <si>
    <t>Thu nội địa</t>
  </si>
  <si>
    <t>Thu viện trợ</t>
  </si>
  <si>
    <t>SO SÁNH ƯỚC TH VỚI DT (%)</t>
  </si>
  <si>
    <t xml:space="preserve">DỰ TOÁN giao đầu năm 2019 </t>
  </si>
  <si>
    <t>Nội dung</t>
  </si>
  <si>
    <t>So sánh (%)</t>
  </si>
  <si>
    <t>Cùng kỳ năm trước</t>
  </si>
  <si>
    <t>5=2/1</t>
  </si>
  <si>
    <t>TỔNG THU NSNN TRÊN ĐỊA BÀN</t>
  </si>
  <si>
    <t xml:space="preserve">Thu từ khu vực DNNN </t>
  </si>
  <si>
    <t xml:space="preserve">Thu từ khu vực doanh nghiệp có vốn đầu tư nước ngoài </t>
  </si>
  <si>
    <t xml:space="preserve">Thu từ khu vực kinh tế ngoài quốc doanh </t>
  </si>
  <si>
    <t>Thuế thu nhập cá nhân</t>
  </si>
  <si>
    <t>Thuế bảo vệ môi trường</t>
  </si>
  <si>
    <t>Lệ phí trước bạ</t>
  </si>
  <si>
    <t xml:space="preserve">Thu phí, lệ phí </t>
  </si>
  <si>
    <t>Các khoản thu về nhà, đất</t>
  </si>
  <si>
    <t>Thuế sử dụng đất nông nghiệp</t>
  </si>
  <si>
    <t>Thuế sử dụng đất phi nông nghiệp</t>
  </si>
  <si>
    <t>Tiền cho thuê đất, thuê mặt nước</t>
  </si>
  <si>
    <t>Thu tiền sử dụng đất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</si>
  <si>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</si>
  <si>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</si>
  <si>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</si>
  <si>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</si>
  <si>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>THU NSNN HUYỆN ĐƯỢC HƯỞNG THEO PHÂN CẤP</t>
  </si>
  <si>
    <t>Từ các khoản thu phân chia</t>
  </si>
  <si>
    <t>Các khoản thu ngân sách huyện được 100%</t>
  </si>
  <si>
    <t>BÁO CÁO KẾT QUẢ THỰC HIỆN CHI NGÂN SÁCH ĐỊA PHƯƠNG 9 THÁNG ĐẦU NĂM 2019</t>
  </si>
  <si>
    <t>(Kèm theo Báo cáo số:          /BC-UBND ngày     tháng 9 năm 2019 của UBND huyện Ba Bể)</t>
  </si>
  <si>
    <t>THỰC HIỆN 9 THÁNG NĂM 2019</t>
  </si>
  <si>
    <t>Kinh phí thực hiện chính sách NĐ113 QĐ301</t>
  </si>
  <si>
    <t>Kinh phí thực hiện hỗ trợ dịch tả lợn QĐ1209</t>
  </si>
  <si>
    <t>Kinh phí hỗ trợ rà soát thẻ bảo hiểm QĐ 1056</t>
  </si>
  <si>
    <t>Kinh phí thực hiện thi tuyển viên chức QĐ 1480</t>
  </si>
  <si>
    <t>Kinh phí thực hiện sắp xếp xã chưa đạt chuẩn QĐ 1339</t>
  </si>
  <si>
    <t>Kinh phí thực hiện CCTL QĐ 1294</t>
  </si>
  <si>
    <t>Kinh phí xóa bỏ tổ chức Dương Văn Mình QĐ168</t>
  </si>
  <si>
    <t>Kinh phí thực hiện CCTL năm 2019 QĐ 1584</t>
  </si>
  <si>
    <t>Kinh phí hoàn trả hỗ trợ sản xuất nông nghiệp QĐ 394</t>
  </si>
  <si>
    <t>ƯỚC THỰC HIỆN 9 THÁNG NĂM 2019</t>
  </si>
  <si>
    <t>Biểu 94/CK-NSNN</t>
  </si>
  <si>
    <t xml:space="preserve"> ƯỚC THỰC HIỆN CHI NGÂN SÁCH ĐỊA PHƯƠNG 6 THÁNG NĂM 2020</t>
  </si>
  <si>
    <t>Đơn vị: đồng</t>
  </si>
  <si>
    <t>tỏng</t>
  </si>
  <si>
    <t>chi đầu tư</t>
  </si>
  <si>
    <t>Chi đầu tư từ nguồn tiết kiệm chi thường xuyên của huyện</t>
  </si>
  <si>
    <t>\</t>
  </si>
  <si>
    <t>Chi sự nghiệp kinh tế</t>
  </si>
  <si>
    <t>Sự nghiệp môi trường</t>
  </si>
  <si>
    <t xml:space="preserve"> Chi SN khoa học và công nghệ</t>
  </si>
  <si>
    <t>Chi sự nghiệp giáo dục -  đào tạo, dạy nghề</t>
  </si>
  <si>
    <t>Chi sự nghiệp văn hóa thông tin</t>
  </si>
  <si>
    <t>Chi sự nghiệp thể dục thể thao</t>
  </si>
  <si>
    <t>Chi sự nghiệp phát thanh truyền hình</t>
  </si>
  <si>
    <t>Chi bảo đảm xã hội</t>
  </si>
  <si>
    <t>Chi an ninh</t>
  </si>
  <si>
    <t>Chi quốc phòng</t>
  </si>
  <si>
    <t>Chi thường xuyên khác</t>
  </si>
  <si>
    <t>Nguồn thu tiền sử đất (thực hiện công tác cấp giấy đo vẽ bản đồ)</t>
  </si>
  <si>
    <t>Các khoản chi khác theo quy định của PL</t>
  </si>
  <si>
    <t xml:space="preserve"> Chi khác ngân sách</t>
  </si>
  <si>
    <t>1.2.1</t>
  </si>
  <si>
    <t>SNKT</t>
  </si>
  <si>
    <t>Tiểu dự án 1 Duy tu bảo dưỡng</t>
  </si>
  <si>
    <t>Tiểu dự án 2 Hỗ trợ PTSX, đa dạng hóa mô hình sinh kế</t>
  </si>
  <si>
    <t>Tiểu dự án 2 Nhân rộng mô hình giảm nghèo phòng NN thực hiện</t>
  </si>
  <si>
    <t>1.2.2</t>
  </si>
  <si>
    <t>Tiểu dự án 3 Hỗ trợ phát triển sản xuất</t>
  </si>
  <si>
    <t>Tiểu dự án 3 Nhân rộng mô hình giảm nghèo</t>
  </si>
  <si>
    <t>Tiểu dự án 3 Kinh phí mua Vắcxin</t>
  </si>
  <si>
    <t>Tiểu dự án 4 Hỗ trợ cho lao động đi làm việc có thời hạn ở nước ngoài</t>
  </si>
  <si>
    <t>1.2.3</t>
  </si>
  <si>
    <t>Dự án 4 Truyền thông và giảm nghèo về thông tin</t>
  </si>
  <si>
    <t>1.2.4</t>
  </si>
  <si>
    <t>Dự án 5 Nâng cao Năng lực và giám sát đánh giá</t>
  </si>
  <si>
    <t>Dự án phát triển sản xuất liên kết theo chuỗi giá trị</t>
  </si>
  <si>
    <t>UBND xã Thượng Giáo</t>
  </si>
  <si>
    <t xml:space="preserve">Phòng NN&amp;PTNT </t>
  </si>
  <si>
    <t xml:space="preserve">UBND xã Yến Dương </t>
  </si>
  <si>
    <t xml:space="preserve">UBND xã Chu Hương </t>
  </si>
  <si>
    <t xml:space="preserve">UBND xã Mỹ Phương </t>
  </si>
  <si>
    <t xml:space="preserve">UBND xã Hà Hiệu </t>
  </si>
  <si>
    <t>Nâng cao chất lượng đào tạo nghề cho lao động nông thôn (Kiểm tra, giám sát, đánh giá đào tạo nghề cho lao động nông thôn)</t>
  </si>
  <si>
    <t>Hỗ trợ đầu tư cơ sở vật chất, thiết bị, phương tiện vận chuyển phục vụ đào tạo lưu động (Hỗ trợ sửa chữa cơ sở vật chất)</t>
  </si>
  <si>
    <t>UBND xã Khang Ninh</t>
  </si>
  <si>
    <t xml:space="preserve">UBND xã Địa Linh </t>
  </si>
  <si>
    <t xml:space="preserve">UBND xã Hà hiệu </t>
  </si>
  <si>
    <t>Phát triển giáo dục nông thôn (phòng GDDT huyện)</t>
  </si>
  <si>
    <t>Kinh phí hoạt động của Ban chỉ đạo Chương trình (phòng Nông nghiệp)</t>
  </si>
  <si>
    <t>Hỗ trợ xây dựng xã đạt chuẩn nông thôn mới</t>
  </si>
  <si>
    <t xml:space="preserve">Xã Khang Ninh </t>
  </si>
  <si>
    <t>Xã Địa Linh</t>
  </si>
  <si>
    <t>Hỗ trợ xây dựng xã nông thôn mới nâng cao (xã Hà Hiệu)</t>
  </si>
  <si>
    <t xml:space="preserve">Hỗ trợ xây dựng thôn đạt chuẩn nông thôn mới </t>
  </si>
  <si>
    <t xml:space="preserve">UBND xã Phúc Lộc </t>
  </si>
  <si>
    <t xml:space="preserve">UBND xã Bành Trạch </t>
  </si>
  <si>
    <t>UBND xã Cao Thượng</t>
  </si>
  <si>
    <t xml:space="preserve">UBND xã Đồng Phúc </t>
  </si>
  <si>
    <t xml:space="preserve">UBND xã Quảng Khê </t>
  </si>
  <si>
    <t>UBND xã Hoàng Trĩ</t>
  </si>
  <si>
    <t xml:space="preserve">UBND xã Nam Mẫu </t>
  </si>
  <si>
    <t>Hỗ trợ kinh phí xây dựng đề án, kế hoạch Chương trình OCOP cấp huyện</t>
  </si>
  <si>
    <t>phòng Nông nghiệp</t>
  </si>
  <si>
    <t>Kinh phí duy tu, bảo dưỡng, vận hành công trình sau khi hoàn thành và đưa vào sử dụng</t>
  </si>
  <si>
    <t>UBND Xã Hà Hiệu</t>
  </si>
  <si>
    <t>UBND Xã Cao Thượng</t>
  </si>
  <si>
    <t>UBND Xã Khang Ninh</t>
  </si>
  <si>
    <t>UBND xã Quảng Khê</t>
  </si>
  <si>
    <t>UBND xã Bành Trạch</t>
  </si>
  <si>
    <t>UBND xã Yến Dương</t>
  </si>
  <si>
    <t>UBND xã Địa Linh</t>
  </si>
  <si>
    <t>UBND xã Nam Mẫu</t>
  </si>
  <si>
    <t>UBND xã Phúc Lộc</t>
  </si>
  <si>
    <t>UBND xã Chu Hương</t>
  </si>
  <si>
    <t>UBND xã Đồng Phúc</t>
  </si>
  <si>
    <t>Vốn kết dư ngân sách</t>
  </si>
  <si>
    <t>Cân đối ngân sách tỉnh phân cấp cho ngân sách huyện</t>
  </si>
  <si>
    <t>Chi đầu tư từ nguồn tiết kiệm chi thường xuyên tỉnh cấp cho huyện</t>
  </si>
  <si>
    <t>CTMT đảm bảo trật tự an toàn giao thông, PCCC, phòng chống tội phạm và ma túy</t>
  </si>
  <si>
    <t>an</t>
  </si>
  <si>
    <t>CTMT Phát triển lâm nghiệp bền vững (Kinh phí khoán bảo vệ, khoanh nuôi tái sinh rừng tự nhiên)</t>
  </si>
  <si>
    <t>snkt</t>
  </si>
  <si>
    <t>CTMT Phát triển hệ thống trợ giúp xã hội (LĐTBXH)</t>
  </si>
  <si>
    <t>dbxh</t>
  </si>
  <si>
    <t xml:space="preserve">QĐ: 2713 ngày 31/12/2019 thực hiện quỹ bảo trì đường bộ </t>
  </si>
  <si>
    <t>DĐang phân bổ</t>
  </si>
  <si>
    <t>QĐ: 2713 ngày 16/01/2020 kp tỉnh bắc ninh hỗ trợ đồng bào tết canh tý năm 2020</t>
  </si>
  <si>
    <t>QĐ 120 ngày 22/01/2020 v/v kp dịch tả lợn đợt 5 năm 2019</t>
  </si>
  <si>
    <t>QĐ 181 ngày 10/2/2020 v/v cấp kp theo NĐ 108 và NĐ 113 đợt  năm 2020</t>
  </si>
  <si>
    <t>QĐ 252 ngày 25/2/2019 v/v thực hiện hỗ trợ sản xuất nông nghiệp để khôi phục sản xuất vùng bị thiệt  hại do thiên tai, dịch bệnh gây ra năm 2019</t>
  </si>
  <si>
    <t>không phân hoàn nguồn</t>
  </si>
  <si>
    <t>QĐ 453 ngày 19/3/2019 v/v phê duyệt phương án hỗ trợ và cấp kinh phí cho UBND  các huyện để chi hỗ trợ cho các  hộ dân bị thiệt hại do mưa đá ngày 24,25/1/2020 trên địa bàn tỉnh</t>
  </si>
  <si>
    <t>đang phân</t>
  </si>
  <si>
    <t>tổng chuyển nguồn huyện</t>
  </si>
  <si>
    <t>tổng chuyển nguồn xa</t>
  </si>
  <si>
    <t>ƯỚC THỰC HIỆN 6 THÁNG NĂM 2020</t>
  </si>
  <si>
    <t xml:space="preserve">DỰ TOÁN GIAO ĐẦU NĂM 2020 </t>
  </si>
  <si>
    <t>(Kèm theo Tờ trình số:      /TTr-TCKH ngày     tháng 7 năm 2020 của phòng Tài chính - KH huyện Ba Bể)</t>
  </si>
  <si>
    <t>Đơn vị: Đồng</t>
  </si>
  <si>
    <t>Quý I/ 2019</t>
  </si>
  <si>
    <t xml:space="preserve"> ƯỚC THỰC HIỆN CHI NGÂN SÁCH ĐỊA PHƯƠNG QUÝ I THÁNG NĂM 2020</t>
  </si>
  <si>
    <t xml:space="preserve">Uớc thực hiện Qúy I </t>
  </si>
  <si>
    <t>ƯỚC THỰC HIỆN QUÝ I NĂM 2020</t>
  </si>
  <si>
    <t>(Kèm theo Tờ trình số: 283a    /TTr-TCKH ngày  10   tháng  4   năm 2020 của phòng Tài chính - KH huyện Ba Bể)</t>
  </si>
  <si>
    <t xml:space="preserve">2508 nguon can doi NS tỉnh </t>
  </si>
  <si>
    <t>đầu tư 2021 chưa phân bổ</t>
  </si>
  <si>
    <t>Nguồn kết dư ngân sách</t>
  </si>
  <si>
    <t>Nguồn chi đầu tư khác (tăng thu tiết kiệm chi)</t>
  </si>
  <si>
    <t>QĐ 941 ngày 28/5/2019 v/v phân bổ chi tiết kế hoạch vốn ngân sách trung ương năm 2020 thực hiện QĐ số 2085/QĐ-TTg ngày 31/10/2016 của TTg</t>
  </si>
  <si>
    <t>Nguồn vốn Hỗ trợ đồng bào dân tộc miền núi theo QĐ số 2085/QĐ-TTg ngày 31/10/2016 (QĐ giao số 1520 ngày 9/07/2020)</t>
  </si>
  <si>
    <t>XÁC NHẬN CỦA KHO BẠC NHÀ NƯỚC</t>
  </si>
  <si>
    <t>PHỤ TRÁCH</t>
  </si>
  <si>
    <t>Dương Văn Toàn</t>
  </si>
  <si>
    <t>So sách Ước thực hiện với DT (%)</t>
  </si>
  <si>
    <t>Tổng cộng</t>
  </si>
  <si>
    <t>Trong đó</t>
  </si>
  <si>
    <t xml:space="preserve">Huyện </t>
  </si>
  <si>
    <t>Xã</t>
  </si>
  <si>
    <t xml:space="preserve">I </t>
  </si>
  <si>
    <t xml:space="preserve"> Các khoản thu 100%</t>
  </si>
  <si>
    <t>Tài nguyên</t>
  </si>
  <si>
    <t>Phí và lệ phí</t>
  </si>
  <si>
    <t>Thu khác doanh nghiệp</t>
  </si>
  <si>
    <t>Tiêu thụ đặc biệt</t>
  </si>
  <si>
    <t>Thu tại xã</t>
  </si>
  <si>
    <t>Các khoản thu phân chia</t>
  </si>
  <si>
    <t>Thuế giá trị gia tăng</t>
  </si>
  <si>
    <t>Thuế thu nhập doanh nghiệp</t>
  </si>
  <si>
    <t xml:space="preserve">Thuế SD đất phi nông nghiệp </t>
  </si>
  <si>
    <t>Thu tiền thuê mặt đất, mặt nước</t>
  </si>
  <si>
    <t>Thuế môn bài</t>
  </si>
  <si>
    <t>TỔNG THU CÂN ĐỐI NGÂN SÁCH ĐỊA PHƯƠNG NĂM 2022</t>
  </si>
  <si>
    <t>Thuế thu nhập cá nhân 
từ chuyển nhượng BĐS</t>
  </si>
  <si>
    <t>Dự toán năm 2023</t>
  </si>
  <si>
    <t>CTMTQG phát triển KT-XH vùng đồng bào DTTS&amp;MN</t>
  </si>
  <si>
    <t>Chi SN môi trường</t>
  </si>
  <si>
    <t xml:space="preserve"> ƯỚC THỰC HIỆN CHI NGÂN SÁCH ĐỊA PHƯƠNG QUÝ I  NĂM 2024</t>
  </si>
  <si>
    <t>a</t>
  </si>
  <si>
    <t xml:space="preserve"> - Vốn đầu tư</t>
  </si>
  <si>
    <t xml:space="preserve"> - Vốn sự nghiệp</t>
  </si>
  <si>
    <t>b</t>
  </si>
  <si>
    <t>CTMTQG giảm nghèo bền vững</t>
  </si>
  <si>
    <t>c</t>
  </si>
  <si>
    <t>CTMTQG Xây dựng nông thôn mới</t>
  </si>
  <si>
    <t>Chi từ vốn sự nghiệp để thực hiện các chế độ, chính sách theo quy định</t>
  </si>
  <si>
    <t>Chi đầu tư thực hiện các chương trình mục tiêu, nhiệm vụ</t>
  </si>
  <si>
    <t>Dự toán giao đầu năm năm 2024</t>
  </si>
  <si>
    <t>Ước thực hiện quý I năm 2024</t>
  </si>
  <si>
    <t>Nguồn thu tiền sử dụng đất (cấp giấy, đo vẽ bản đồ)</t>
  </si>
  <si>
    <t>CÂN ĐỐI NGÂN SÁCH ĐỊA PHƯƠNG QUÝ I  NĂM 2024</t>
  </si>
  <si>
    <t>ƯỚC THỰC HIỆN THU NGÂN SÁCH NHÀ NƯỚC QUÝ I NĂM 2024</t>
  </si>
  <si>
    <t>Ước thực hiện quý I/2024</t>
  </si>
  <si>
    <t>(Kèm theo Quyết định số:         /QĐ-UBND ngày     tháng 4 năm 2024 của UBND huyện Ba Bể)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</si>
</sst>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_-* #,##0.0\ _₫_-;\-* #,##0.0\ _₫_-;_-* &quot;-&quot;??\ _₫_-;_-@_-"/>
    <numFmt numFmtId="174" formatCode="_-* #,##0\ _₫_-;\-* #,##0\ _₫_-;_-* &quot;-&quot;??\ _₫_-;_-@_-"/>
    <numFmt numFmtId="175" formatCode="_-* #,##0.000\ _₫_-;\-* #,##0.00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#,##0.0"/>
    <numFmt numFmtId="181" formatCode="_(* #,##0.000_);_(* \(#,##0.000\);_(* &quot;-&quot;??_);_(@_)"/>
    <numFmt numFmtId="182" formatCode="_(* #,##0.000000_);_(* \(#,##0.000000\);_(* &quot;-&quot;??_);_(@_)"/>
    <numFmt numFmtId="183" formatCode="_(* #,##0_);_(* \(#,##0\);_(* &quot;-&quot;??_);_(@_)"/>
    <numFmt numFmtId="184" formatCode="_-* #,##0.000000\ _₫_-;\-* #,##0.000000\ _₫_-;_-* &quot;-&quot;??????\ _₫_-;_-@_-"/>
    <numFmt numFmtId="185" formatCode="_-* #,##0.000\ _₫_-;\-* #,##0.000\ _₫_-;_-* &quot;-&quot;???\ _₫_-;_-@_-"/>
    <numFmt numFmtId="186" formatCode="_-* #,##0.0\ _₫_-;\-* #,##0.0\ _₫_-;_-* &quot;-&quot;?\ _₫_-;_-@_-"/>
    <numFmt numFmtId="187" formatCode="#,##0.000"/>
    <numFmt numFmtId="188" formatCode="0.000"/>
    <numFmt numFmtId="189" formatCode="[$€-2]\ #,##0.00_);[Red]\([$€-2]\ #,##0.00\)"/>
  </numFmts>
  <fonts count="102">
    <font>
      <sz val="11"/>
      <color indexed="8"/>
      <name val="Arial"/>
      <family val="2"/>
    </font>
    <font>
      <sz val="10"/>
      <name val="Arial"/>
      <family val="2"/>
    </font>
    <font>
      <sz val="12"/>
      <name val=".VnArial Narrow"/>
      <family val="2"/>
    </font>
    <font>
      <sz val="12"/>
      <name val=".VnTime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2"/>
    </font>
    <font>
      <i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Helvetica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Helvetica"/>
      <family val="0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Helvetica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dashed"/>
      <bottom style="dashed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/>
      <top style="hair">
        <color rgb="FF000000"/>
      </top>
      <bottom style="hair">
        <color rgb="FF000000"/>
      </bottom>
    </border>
    <border>
      <left style="thin"/>
      <right style="thin"/>
      <top>
        <color indexed="63"/>
      </top>
      <bottom style="hair"/>
    </border>
    <border>
      <left style="thin">
        <color rgb="FF000000"/>
      </left>
      <right style="thin">
        <color rgb="FF000000"/>
      </right>
      <top style="dotted">
        <color rgb="FF000000"/>
      </top>
      <bottom/>
    </border>
    <border>
      <left style="thin"/>
      <right style="thin"/>
      <top style="hair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1" fillId="0" borderId="0">
      <alignment/>
      <protection/>
    </xf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19" borderId="1" applyNumberFormat="0" applyAlignment="0" applyProtection="0"/>
    <xf numFmtId="0" fontId="67" fillId="20" borderId="2" applyNumberFormat="0" applyAlignment="0" applyProtection="0"/>
    <xf numFmtId="171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0" fillId="21" borderId="6" applyNumberFormat="0" applyFont="0" applyAlignment="0" applyProtection="0"/>
    <xf numFmtId="0" fontId="4" fillId="0" borderId="7" applyNumberFormat="0" applyAlignment="0" applyProtection="0"/>
    <xf numFmtId="0" fontId="4" fillId="0" borderId="8">
      <alignment horizontal="left" vertical="center"/>
      <protection/>
    </xf>
    <xf numFmtId="0" fontId="71" fillId="22" borderId="9" applyNumberFormat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64" fillId="0" borderId="0">
      <alignment/>
      <protection/>
    </xf>
    <xf numFmtId="0" fontId="72" fillId="0" borderId="0">
      <alignment/>
      <protection/>
    </xf>
    <xf numFmtId="0" fontId="3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72" fillId="0" borderId="0">
      <alignment/>
      <protection/>
    </xf>
    <xf numFmtId="0" fontId="7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74" fillId="0" borderId="10" applyNumberFormat="0" applyFill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19" borderId="2" applyNumberFormat="0" applyAlignment="0" applyProtection="0"/>
    <xf numFmtId="0" fontId="77" fillId="0" borderId="11" applyNumberFormat="0" applyFill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vertical="center" wrapText="1"/>
    </xf>
    <xf numFmtId="172" fontId="9" fillId="32" borderId="14" xfId="65" applyNumberFormat="1" applyFont="1" applyFill="1" applyBorder="1" applyAlignment="1">
      <alignment vertical="center"/>
      <protection/>
    </xf>
    <xf numFmtId="0" fontId="9" fillId="32" borderId="14" xfId="65" applyFont="1" applyFill="1" applyBorder="1" applyAlignment="1">
      <alignment vertical="center"/>
      <protection/>
    </xf>
    <xf numFmtId="0" fontId="9" fillId="32" borderId="14" xfId="65" applyNumberFormat="1" applyFont="1" applyFill="1" applyBorder="1" applyAlignment="1">
      <alignment vertical="center"/>
      <protection/>
    </xf>
    <xf numFmtId="3" fontId="9" fillId="32" borderId="14" xfId="0" applyNumberFormat="1" applyFont="1" applyFill="1" applyBorder="1" applyAlignment="1">
      <alignment horizontal="left" vertical="center" wrapText="1"/>
    </xf>
    <xf numFmtId="174" fontId="10" fillId="32" borderId="13" xfId="41" applyNumberFormat="1" applyFont="1" applyFill="1" applyBorder="1" applyAlignment="1">
      <alignment horizontal="right" vertical="center" wrapText="1"/>
    </xf>
    <xf numFmtId="174" fontId="10" fillId="32" borderId="14" xfId="41" applyNumberFormat="1" applyFont="1" applyFill="1" applyBorder="1" applyAlignment="1">
      <alignment horizontal="right" vertical="center" wrapText="1"/>
    </xf>
    <xf numFmtId="174" fontId="9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 vertical="center"/>
    </xf>
    <xf numFmtId="3" fontId="9" fillId="32" borderId="15" xfId="41" applyNumberFormat="1" applyFont="1" applyFill="1" applyBorder="1" applyAlignment="1">
      <alignment horizontal="right" vertical="center"/>
    </xf>
    <xf numFmtId="3" fontId="10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 vertical="center" wrapText="1"/>
    </xf>
    <xf numFmtId="3" fontId="9" fillId="32" borderId="14" xfId="41" applyNumberFormat="1" applyFont="1" applyFill="1" applyBorder="1" applyAlignment="1">
      <alignment horizontal="right"/>
    </xf>
    <xf numFmtId="3" fontId="9" fillId="32" borderId="16" xfId="0" applyNumberFormat="1" applyFont="1" applyFill="1" applyBorder="1" applyAlignment="1">
      <alignment horizontal="left" vertical="center" wrapText="1"/>
    </xf>
    <xf numFmtId="3" fontId="9" fillId="32" borderId="16" xfId="41" applyNumberFormat="1" applyFont="1" applyFill="1" applyBorder="1" applyAlignment="1">
      <alignment horizontal="right" vertical="center" wrapText="1"/>
    </xf>
    <xf numFmtId="3" fontId="9" fillId="32" borderId="16" xfId="41" applyNumberFormat="1" applyFont="1" applyFill="1" applyBorder="1" applyAlignment="1">
      <alignment horizontal="right"/>
    </xf>
    <xf numFmtId="3" fontId="11" fillId="32" borderId="14" xfId="41" applyNumberFormat="1" applyFont="1" applyFill="1" applyBorder="1" applyAlignment="1">
      <alignment horizontal="right" vertical="center" wrapText="1"/>
    </xf>
    <xf numFmtId="0" fontId="11" fillId="32" borderId="14" xfId="0" applyFont="1" applyFill="1" applyBorder="1" applyAlignment="1">
      <alignment horizontal="center" vertical="center" wrapText="1"/>
    </xf>
    <xf numFmtId="174" fontId="9" fillId="32" borderId="16" xfId="41" applyNumberFormat="1" applyFont="1" applyFill="1" applyBorder="1" applyAlignment="1">
      <alignment horizontal="right" vertical="center" wrapText="1"/>
    </xf>
    <xf numFmtId="3" fontId="9" fillId="32" borderId="17" xfId="0" applyNumberFormat="1" applyFont="1" applyFill="1" applyBorder="1" applyAlignment="1">
      <alignment horizontal="left" vertical="center" wrapText="1"/>
    </xf>
    <xf numFmtId="174" fontId="9" fillId="32" borderId="17" xfId="41" applyNumberFormat="1" applyFont="1" applyFill="1" applyBorder="1" applyAlignment="1">
      <alignment horizontal="right" vertical="center" wrapText="1"/>
    </xf>
    <xf numFmtId="3" fontId="9" fillId="32" borderId="17" xfId="41" applyNumberFormat="1" applyFont="1" applyFill="1" applyBorder="1" applyAlignment="1">
      <alignment horizontal="right" vertical="center" wrapText="1"/>
    </xf>
    <xf numFmtId="3" fontId="9" fillId="32" borderId="17" xfId="4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174" fontId="12" fillId="0" borderId="0" xfId="41" applyNumberFormat="1" applyFont="1" applyAlignment="1">
      <alignment/>
    </xf>
    <xf numFmtId="3" fontId="12" fillId="0" borderId="0" xfId="41" applyNumberFormat="1" applyFont="1" applyAlignment="1">
      <alignment/>
    </xf>
    <xf numFmtId="174" fontId="12" fillId="0" borderId="0" xfId="0" applyNumberFormat="1" applyFont="1" applyAlignment="1">
      <alignment/>
    </xf>
    <xf numFmtId="3" fontId="12" fillId="0" borderId="14" xfId="41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 wrapText="1"/>
    </xf>
    <xf numFmtId="0" fontId="11" fillId="0" borderId="14" xfId="0" applyFont="1" applyBorder="1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32" borderId="14" xfId="0" applyFont="1" applyFill="1" applyBorder="1" applyAlignment="1">
      <alignment horizontal="center"/>
    </xf>
    <xf numFmtId="3" fontId="9" fillId="0" borderId="0" xfId="41" applyNumberFormat="1" applyFont="1" applyAlignment="1">
      <alignment horizontal="right"/>
    </xf>
    <xf numFmtId="0" fontId="9" fillId="32" borderId="17" xfId="0" applyFont="1" applyFill="1" applyBorder="1" applyAlignment="1">
      <alignment horizontal="center"/>
    </xf>
    <xf numFmtId="0" fontId="15" fillId="0" borderId="0" xfId="33" applyFont="1">
      <alignment/>
      <protection/>
    </xf>
    <xf numFmtId="0" fontId="16" fillId="0" borderId="0" xfId="33" applyFont="1">
      <alignment/>
      <protection/>
    </xf>
    <xf numFmtId="0" fontId="17" fillId="0" borderId="0" xfId="0" applyFont="1" applyAlignment="1">
      <alignment/>
    </xf>
    <xf numFmtId="0" fontId="1" fillId="0" borderId="0" xfId="33" applyFont="1">
      <alignment/>
      <protection/>
    </xf>
    <xf numFmtId="0" fontId="12" fillId="0" borderId="0" xfId="0" applyFont="1" applyAlignment="1">
      <alignment/>
    </xf>
    <xf numFmtId="0" fontId="13" fillId="0" borderId="18" xfId="33" applyFont="1" applyBorder="1" applyAlignment="1">
      <alignment horizontal="center" vertical="center" wrapText="1"/>
      <protection/>
    </xf>
    <xf numFmtId="0" fontId="20" fillId="0" borderId="18" xfId="33" applyFont="1" applyBorder="1" applyAlignment="1">
      <alignment vertical="center" wrapText="1"/>
      <protection/>
    </xf>
    <xf numFmtId="0" fontId="19" fillId="0" borderId="18" xfId="33" applyFont="1" applyBorder="1" applyAlignment="1">
      <alignment horizontal="center" vertical="center" wrapText="1"/>
      <protection/>
    </xf>
    <xf numFmtId="0" fontId="9" fillId="0" borderId="18" xfId="33" applyFont="1" applyBorder="1" applyAlignment="1">
      <alignment vertical="center" wrapText="1"/>
      <protection/>
    </xf>
    <xf numFmtId="0" fontId="21" fillId="0" borderId="0" xfId="0" applyFont="1" applyAlignment="1">
      <alignment/>
    </xf>
    <xf numFmtId="173" fontId="22" fillId="0" borderId="0" xfId="41" applyNumberFormat="1" applyFont="1" applyAlignment="1">
      <alignment/>
    </xf>
    <xf numFmtId="173" fontId="12" fillId="0" borderId="0" xfId="41" applyNumberFormat="1" applyFont="1" applyAlignment="1">
      <alignment/>
    </xf>
    <xf numFmtId="174" fontId="16" fillId="0" borderId="0" xfId="41" applyNumberFormat="1" applyFont="1" applyAlignment="1">
      <alignment/>
    </xf>
    <xf numFmtId="174" fontId="1" fillId="0" borderId="0" xfId="41" applyNumberFormat="1" applyFont="1" applyAlignment="1">
      <alignment/>
    </xf>
    <xf numFmtId="174" fontId="22" fillId="0" borderId="0" xfId="41" applyNumberFormat="1" applyFont="1" applyAlignment="1">
      <alignment/>
    </xf>
    <xf numFmtId="174" fontId="12" fillId="0" borderId="0" xfId="41" applyNumberFormat="1" applyFont="1" applyAlignment="1">
      <alignment/>
    </xf>
    <xf numFmtId="173" fontId="23" fillId="0" borderId="0" xfId="41" applyNumberFormat="1" applyFont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 wrapText="1"/>
    </xf>
    <xf numFmtId="174" fontId="10" fillId="0" borderId="13" xfId="41" applyNumberFormat="1" applyFont="1" applyFill="1" applyBorder="1" applyAlignment="1">
      <alignment horizontal="right" vertical="center" wrapText="1"/>
    </xf>
    <xf numFmtId="174" fontId="9" fillId="0" borderId="14" xfId="41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74" fontId="10" fillId="0" borderId="14" xfId="41" applyNumberFormat="1" applyFont="1" applyFill="1" applyBorder="1" applyAlignment="1">
      <alignment horizontal="right" vertical="center" wrapText="1"/>
    </xf>
    <xf numFmtId="174" fontId="12" fillId="0" borderId="0" xfId="41" applyNumberFormat="1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3" fontId="9" fillId="0" borderId="0" xfId="41" applyNumberFormat="1" applyFont="1" applyFill="1" applyAlignment="1">
      <alignment/>
    </xf>
    <xf numFmtId="174" fontId="12" fillId="0" borderId="0" xfId="0" applyNumberFormat="1" applyFont="1" applyFill="1" applyAlignment="1">
      <alignment/>
    </xf>
    <xf numFmtId="174" fontId="20" fillId="0" borderId="14" xfId="41" applyNumberFormat="1" applyFont="1" applyFill="1" applyBorder="1" applyAlignment="1">
      <alignment horizontal="right" vertical="center" wrapText="1"/>
    </xf>
    <xf numFmtId="172" fontId="9" fillId="0" borderId="14" xfId="65" applyNumberFormat="1" applyFont="1" applyFill="1" applyBorder="1" applyAlignment="1">
      <alignment vertical="center"/>
      <protection/>
    </xf>
    <xf numFmtId="3" fontId="9" fillId="0" borderId="14" xfId="41" applyNumberFormat="1" applyFont="1" applyFill="1" applyBorder="1" applyAlignment="1">
      <alignment horizontal="right" vertical="center"/>
    </xf>
    <xf numFmtId="3" fontId="9" fillId="0" borderId="14" xfId="41" applyNumberFormat="1" applyFont="1" applyFill="1" applyBorder="1" applyAlignment="1">
      <alignment/>
    </xf>
    <xf numFmtId="3" fontId="9" fillId="0" borderId="14" xfId="41" applyNumberFormat="1" applyFont="1" applyFill="1" applyBorder="1" applyAlignment="1">
      <alignment horizontal="right" vertical="center" wrapText="1"/>
    </xf>
    <xf numFmtId="0" fontId="9" fillId="0" borderId="14" xfId="65" applyFont="1" applyFill="1" applyBorder="1" applyAlignment="1">
      <alignment vertical="center"/>
      <protection/>
    </xf>
    <xf numFmtId="0" fontId="9" fillId="0" borderId="14" xfId="65" applyNumberFormat="1" applyFont="1" applyFill="1" applyBorder="1" applyAlignment="1">
      <alignment vertical="center"/>
      <protection/>
    </xf>
    <xf numFmtId="3" fontId="10" fillId="0" borderId="14" xfId="4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/>
    </xf>
    <xf numFmtId="3" fontId="11" fillId="0" borderId="14" xfId="4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3" fontId="9" fillId="0" borderId="14" xfId="41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/>
    </xf>
    <xf numFmtId="3" fontId="9" fillId="0" borderId="20" xfId="41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left" vertical="center" wrapText="1"/>
    </xf>
    <xf numFmtId="3" fontId="9" fillId="0" borderId="16" xfId="41" applyNumberFormat="1" applyFont="1" applyFill="1" applyBorder="1" applyAlignment="1">
      <alignment horizontal="right" vertical="center" wrapText="1"/>
    </xf>
    <xf numFmtId="3" fontId="9" fillId="0" borderId="16" xfId="41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174" fontId="9" fillId="0" borderId="16" xfId="41" applyNumberFormat="1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4" fontId="9" fillId="0" borderId="17" xfId="41" applyNumberFormat="1" applyFont="1" applyFill="1" applyBorder="1" applyAlignment="1">
      <alignment horizontal="right" vertical="center" wrapText="1"/>
    </xf>
    <xf numFmtId="3" fontId="9" fillId="0" borderId="17" xfId="41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/>
    </xf>
    <xf numFmtId="3" fontId="12" fillId="0" borderId="0" xfId="41" applyNumberFormat="1" applyFont="1" applyFill="1" applyAlignment="1">
      <alignment horizontal="right"/>
    </xf>
    <xf numFmtId="0" fontId="12" fillId="0" borderId="21" xfId="0" applyFont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84" fillId="0" borderId="22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174" fontId="8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3" fillId="0" borderId="0" xfId="0" applyNumberFormat="1" applyFont="1" applyFill="1" applyAlignment="1">
      <alignment/>
    </xf>
    <xf numFmtId="174" fontId="83" fillId="0" borderId="0" xfId="41" applyNumberFormat="1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9" fillId="0" borderId="23" xfId="41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vertical="center" wrapText="1"/>
    </xf>
    <xf numFmtId="174" fontId="20" fillId="0" borderId="24" xfId="41" applyNumberFormat="1" applyFont="1" applyFill="1" applyBorder="1" applyAlignment="1">
      <alignment vertical="center" wrapText="1"/>
    </xf>
    <xf numFmtId="187" fontId="9" fillId="0" borderId="25" xfId="65" applyNumberFormat="1" applyFont="1" applyFill="1" applyBorder="1" applyAlignment="1">
      <alignment horizontal="center" vertical="center" wrapText="1"/>
      <protection/>
    </xf>
    <xf numFmtId="187" fontId="9" fillId="0" borderId="0" xfId="65" applyNumberFormat="1" applyFont="1" applyFill="1" applyBorder="1" applyAlignment="1">
      <alignment horizontal="center" vertical="center" wrapText="1"/>
      <protection/>
    </xf>
    <xf numFmtId="0" fontId="20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174" fontId="20" fillId="0" borderId="26" xfId="41" applyNumberFormat="1" applyFont="1" applyFill="1" applyBorder="1" applyAlignment="1">
      <alignment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 wrapText="1"/>
    </xf>
    <xf numFmtId="174" fontId="9" fillId="0" borderId="26" xfId="41" applyNumberFormat="1" applyFont="1" applyFill="1" applyBorder="1" applyAlignment="1">
      <alignment vertical="center" wrapText="1"/>
    </xf>
    <xf numFmtId="174" fontId="85" fillId="0" borderId="26" xfId="41" applyNumberFormat="1" applyFont="1" applyFill="1" applyBorder="1" applyAlignment="1">
      <alignment vertical="center" wrapText="1"/>
    </xf>
    <xf numFmtId="174" fontId="9" fillId="0" borderId="0" xfId="41" applyNumberFormat="1" applyFont="1" applyFill="1" applyBorder="1" applyAlignment="1">
      <alignment vertical="center" wrapText="1"/>
    </xf>
    <xf numFmtId="10" fontId="9" fillId="0" borderId="0" xfId="69" applyNumberFormat="1" applyFont="1" applyFill="1" applyBorder="1" applyAlignment="1">
      <alignment vertical="center" wrapText="1"/>
    </xf>
    <xf numFmtId="3" fontId="20" fillId="0" borderId="27" xfId="38" applyNumberFormat="1" applyFont="1" applyFill="1" applyBorder="1" applyAlignment="1">
      <alignment/>
    </xf>
    <xf numFmtId="172" fontId="9" fillId="0" borderId="26" xfId="65" applyNumberFormat="1" applyFont="1" applyFill="1" applyBorder="1" applyAlignment="1">
      <alignment vertical="center"/>
      <protection/>
    </xf>
    <xf numFmtId="174" fontId="9" fillId="0" borderId="28" xfId="41" applyNumberFormat="1" applyFont="1" applyFill="1" applyBorder="1" applyAlignment="1">
      <alignment horizontal="center" vertical="center" wrapText="1"/>
    </xf>
    <xf numFmtId="174" fontId="9" fillId="0" borderId="26" xfId="41" applyNumberFormat="1" applyFont="1" applyFill="1" applyBorder="1" applyAlignment="1">
      <alignment vertical="center"/>
    </xf>
    <xf numFmtId="174" fontId="85" fillId="0" borderId="26" xfId="41" applyNumberFormat="1" applyFont="1" applyFill="1" applyBorder="1" applyAlignment="1">
      <alignment vertical="center"/>
    </xf>
    <xf numFmtId="0" fontId="26" fillId="0" borderId="27" xfId="0" applyFont="1" applyFill="1" applyBorder="1" applyAlignment="1">
      <alignment/>
    </xf>
    <xf numFmtId="10" fontId="9" fillId="0" borderId="0" xfId="69" applyNumberFormat="1" applyFont="1" applyFill="1" applyBorder="1" applyAlignment="1">
      <alignment vertical="center"/>
    </xf>
    <xf numFmtId="0" fontId="9" fillId="0" borderId="26" xfId="65" applyFont="1" applyFill="1" applyBorder="1" applyAlignment="1">
      <alignment vertical="center"/>
      <protection/>
    </xf>
    <xf numFmtId="0" fontId="9" fillId="0" borderId="26" xfId="65" applyNumberFormat="1" applyFont="1" applyFill="1" applyBorder="1" applyAlignment="1">
      <alignment vertical="center"/>
      <protection/>
    </xf>
    <xf numFmtId="0" fontId="26" fillId="0" borderId="0" xfId="0" applyFont="1" applyFill="1" applyBorder="1" applyAlignment="1">
      <alignment/>
    </xf>
    <xf numFmtId="0" fontId="9" fillId="0" borderId="29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left" vertical="center" wrapText="1"/>
    </xf>
    <xf numFmtId="3" fontId="9" fillId="0" borderId="29" xfId="0" applyNumberFormat="1" applyFont="1" applyFill="1" applyBorder="1" applyAlignment="1">
      <alignment horizontal="left" vertical="center" wrapText="1"/>
    </xf>
    <xf numFmtId="49" fontId="86" fillId="0" borderId="29" xfId="0" applyNumberFormat="1" applyFont="1" applyFill="1" applyBorder="1" applyAlignment="1">
      <alignment horizontal="left" vertical="center" wrapText="1"/>
    </xf>
    <xf numFmtId="0" fontId="9" fillId="0" borderId="30" xfId="60" applyFont="1" applyFill="1" applyBorder="1" applyAlignment="1">
      <alignment horizontal="left" vertical="center" wrapText="1"/>
      <protection/>
    </xf>
    <xf numFmtId="0" fontId="87" fillId="0" borderId="30" xfId="60" applyFont="1" applyFill="1" applyBorder="1" applyAlignment="1">
      <alignment horizontal="left" vertical="center" wrapText="1"/>
      <protection/>
    </xf>
    <xf numFmtId="174" fontId="9" fillId="0" borderId="31" xfId="41" applyNumberFormat="1" applyFont="1" applyFill="1" applyBorder="1" applyAlignment="1">
      <alignment vertical="center" wrapText="1"/>
    </xf>
    <xf numFmtId="174" fontId="88" fillId="0" borderId="26" xfId="41" applyNumberFormat="1" applyFont="1" applyFill="1" applyBorder="1" applyAlignment="1">
      <alignment vertical="center" wrapText="1"/>
    </xf>
    <xf numFmtId="174" fontId="88" fillId="0" borderId="31" xfId="41" applyNumberFormat="1" applyFont="1" applyFill="1" applyBorder="1" applyAlignment="1">
      <alignment vertical="center" wrapText="1"/>
    </xf>
    <xf numFmtId="174" fontId="20" fillId="0" borderId="32" xfId="41" applyNumberFormat="1" applyFont="1" applyFill="1" applyBorder="1" applyAlignment="1">
      <alignment horizontal="center" vertical="center" wrapText="1"/>
    </xf>
    <xf numFmtId="174" fontId="20" fillId="0" borderId="29" xfId="41" applyNumberFormat="1" applyFont="1" applyFill="1" applyBorder="1" applyAlignment="1">
      <alignment horizontal="center" vertical="center" wrapText="1"/>
    </xf>
    <xf numFmtId="174" fontId="9" fillId="0" borderId="29" xfId="41" applyNumberFormat="1" applyFont="1" applyFill="1" applyBorder="1" applyAlignment="1">
      <alignment horizontal="center" vertical="center" wrapText="1"/>
    </xf>
    <xf numFmtId="174" fontId="9" fillId="0" borderId="33" xfId="41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left" vertical="center" wrapText="1"/>
    </xf>
    <xf numFmtId="174" fontId="20" fillId="0" borderId="33" xfId="41" applyNumberFormat="1" applyFont="1" applyFill="1" applyBorder="1" applyAlignment="1">
      <alignment horizontal="center" vertical="center" wrapText="1"/>
    </xf>
    <xf numFmtId="174" fontId="85" fillId="0" borderId="28" xfId="41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41" applyNumberFormat="1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/>
    </xf>
    <xf numFmtId="174" fontId="24" fillId="0" borderId="27" xfId="41" applyNumberFormat="1" applyFont="1" applyFill="1" applyBorder="1" applyAlignment="1">
      <alignment horizontal="center" vertical="center" wrapText="1"/>
    </xf>
    <xf numFmtId="174" fontId="26" fillId="0" borderId="0" xfId="41" applyNumberFormat="1" applyFont="1" applyFill="1" applyAlignment="1">
      <alignment/>
    </xf>
    <xf numFmtId="174" fontId="24" fillId="0" borderId="27" xfId="41" applyNumberFormat="1" applyFont="1" applyFill="1" applyBorder="1" applyAlignment="1">
      <alignment horizontal="center" vertical="center" wrapText="1"/>
    </xf>
    <xf numFmtId="174" fontId="0" fillId="0" borderId="0" xfId="41" applyNumberFormat="1" applyFont="1" applyFill="1" applyAlignment="1">
      <alignment/>
    </xf>
    <xf numFmtId="0" fontId="25" fillId="0" borderId="0" xfId="0" applyFont="1" applyFill="1" applyAlignment="1">
      <alignment horizontal="center" vertical="center" wrapText="1"/>
    </xf>
    <xf numFmtId="10" fontId="9" fillId="0" borderId="26" xfId="69" applyNumberFormat="1" applyFont="1" applyFill="1" applyBorder="1" applyAlignment="1">
      <alignment vertical="center" wrapText="1"/>
    </xf>
    <xf numFmtId="10" fontId="9" fillId="0" borderId="26" xfId="69" applyNumberFormat="1" applyFont="1" applyFill="1" applyBorder="1" applyAlignment="1">
      <alignment vertical="center"/>
    </xf>
    <xf numFmtId="0" fontId="9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4" fontId="29" fillId="0" borderId="26" xfId="0" applyNumberFormat="1" applyFont="1" applyFill="1" applyBorder="1" applyAlignment="1">
      <alignment vertical="center" wrapText="1"/>
    </xf>
    <xf numFmtId="174" fontId="29" fillId="0" borderId="26" xfId="41" applyNumberFormat="1" applyFont="1" applyFill="1" applyBorder="1" applyAlignment="1">
      <alignment horizontal="left" vertical="center" wrapText="1"/>
    </xf>
    <xf numFmtId="4" fontId="30" fillId="0" borderId="26" xfId="0" applyNumberFormat="1" applyFont="1" applyFill="1" applyBorder="1" applyAlignment="1">
      <alignment vertical="center" wrapText="1"/>
    </xf>
    <xf numFmtId="174" fontId="85" fillId="0" borderId="28" xfId="41" applyNumberFormat="1" applyFont="1" applyFill="1" applyBorder="1" applyAlignment="1">
      <alignment horizontal="center"/>
    </xf>
    <xf numFmtId="169" fontId="89" fillId="0" borderId="27" xfId="38" applyFont="1" applyFill="1" applyBorder="1" applyAlignment="1">
      <alignment/>
    </xf>
    <xf numFmtId="0" fontId="90" fillId="0" borderId="34" xfId="0" applyFont="1" applyFill="1" applyBorder="1" applyAlignment="1">
      <alignment/>
    </xf>
    <xf numFmtId="0" fontId="9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174" fontId="77" fillId="0" borderId="0" xfId="0" applyNumberFormat="1" applyFont="1" applyFill="1" applyAlignment="1">
      <alignment/>
    </xf>
    <xf numFmtId="0" fontId="9" fillId="0" borderId="29" xfId="0" applyFont="1" applyFill="1" applyBorder="1" applyAlignment="1">
      <alignment horizontal="left" wrapText="1"/>
    </xf>
    <xf numFmtId="0" fontId="86" fillId="0" borderId="29" xfId="0" applyFont="1" applyFill="1" applyBorder="1" applyAlignment="1">
      <alignment horizontal="center"/>
    </xf>
    <xf numFmtId="0" fontId="85" fillId="0" borderId="29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/>
    </xf>
    <xf numFmtId="0" fontId="72" fillId="0" borderId="30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wrapText="1"/>
    </xf>
    <xf numFmtId="0" fontId="89" fillId="0" borderId="35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91" fillId="0" borderId="30" xfId="0" applyFont="1" applyFill="1" applyBorder="1" applyAlignment="1">
      <alignment vertical="center" wrapText="1"/>
    </xf>
    <xf numFmtId="0" fontId="92" fillId="0" borderId="26" xfId="0" applyFont="1" applyFill="1" applyBorder="1" applyAlignment="1">
      <alignment horizontal="center"/>
    </xf>
    <xf numFmtId="0" fontId="87" fillId="0" borderId="26" xfId="0" applyFont="1" applyFill="1" applyBorder="1" applyAlignment="1">
      <alignment horizontal="center"/>
    </xf>
    <xf numFmtId="174" fontId="87" fillId="0" borderId="26" xfId="41" applyNumberFormat="1" applyFont="1" applyFill="1" applyBorder="1" applyAlignment="1">
      <alignment/>
    </xf>
    <xf numFmtId="0" fontId="87" fillId="0" borderId="29" xfId="0" applyFont="1" applyFill="1" applyBorder="1" applyAlignment="1">
      <alignment horizontal="center"/>
    </xf>
    <xf numFmtId="0" fontId="87" fillId="0" borderId="33" xfId="0" applyFont="1" applyFill="1" applyBorder="1" applyAlignment="1">
      <alignment horizontal="center"/>
    </xf>
    <xf numFmtId="174" fontId="9" fillId="0" borderId="33" xfId="41" applyNumberFormat="1" applyFont="1" applyFill="1" applyBorder="1" applyAlignment="1">
      <alignment horizontal="center"/>
    </xf>
    <xf numFmtId="174" fontId="87" fillId="0" borderId="33" xfId="41" applyNumberFormat="1" applyFont="1" applyFill="1" applyBorder="1" applyAlignment="1">
      <alignment horizontal="center"/>
    </xf>
    <xf numFmtId="0" fontId="80" fillId="0" borderId="0" xfId="0" applyFont="1" applyFill="1" applyAlignment="1">
      <alignment/>
    </xf>
    <xf numFmtId="169" fontId="19" fillId="0" borderId="27" xfId="38" applyFont="1" applyFill="1" applyBorder="1" applyAlignment="1">
      <alignment/>
    </xf>
    <xf numFmtId="169" fontId="19" fillId="0" borderId="36" xfId="38" applyFont="1" applyFill="1" applyBorder="1" applyAlignment="1">
      <alignment/>
    </xf>
    <xf numFmtId="3" fontId="9" fillId="0" borderId="37" xfId="0" applyNumberFormat="1" applyFont="1" applyFill="1" applyBorder="1" applyAlignment="1">
      <alignment horizontal="left" vertical="center" wrapText="1"/>
    </xf>
    <xf numFmtId="174" fontId="20" fillId="0" borderId="37" xfId="41" applyNumberFormat="1" applyFont="1" applyFill="1" applyBorder="1" applyAlignment="1">
      <alignment horizontal="center" vertical="center" wrapText="1"/>
    </xf>
    <xf numFmtId="174" fontId="9" fillId="0" borderId="31" xfId="41" applyNumberFormat="1" applyFont="1" applyFill="1" applyBorder="1" applyAlignment="1">
      <alignment horizontal="center" vertical="center" wrapText="1"/>
    </xf>
    <xf numFmtId="169" fontId="19" fillId="0" borderId="38" xfId="38" applyFont="1" applyFill="1" applyBorder="1" applyAlignment="1">
      <alignment/>
    </xf>
    <xf numFmtId="174" fontId="87" fillId="0" borderId="31" xfId="41" applyNumberFormat="1" applyFont="1" applyFill="1" applyBorder="1" applyAlignment="1">
      <alignment horizontal="center"/>
    </xf>
    <xf numFmtId="0" fontId="87" fillId="0" borderId="34" xfId="0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left" vertical="center" wrapText="1"/>
    </xf>
    <xf numFmtId="174" fontId="20" fillId="0" borderId="34" xfId="41" applyNumberFormat="1" applyFont="1" applyFill="1" applyBorder="1" applyAlignment="1">
      <alignment horizontal="center" vertical="center" wrapText="1"/>
    </xf>
    <xf numFmtId="174" fontId="9" fillId="0" borderId="34" xfId="41" applyNumberFormat="1" applyFont="1" applyFill="1" applyBorder="1" applyAlignment="1">
      <alignment horizontal="center" vertical="center" wrapText="1"/>
    </xf>
    <xf numFmtId="174" fontId="9" fillId="0" borderId="34" xfId="41" applyNumberFormat="1" applyFont="1" applyFill="1" applyBorder="1" applyAlignment="1">
      <alignment horizontal="center"/>
    </xf>
    <xf numFmtId="174" fontId="87" fillId="0" borderId="34" xfId="41" applyNumberFormat="1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74" fontId="93" fillId="0" borderId="0" xfId="41" applyNumberFormat="1" applyFont="1" applyFill="1" applyAlignment="1">
      <alignment/>
    </xf>
    <xf numFmtId="174" fontId="93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22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4" fontId="8" fillId="0" borderId="0" xfId="0" applyNumberFormat="1" applyFont="1" applyFill="1" applyBorder="1" applyAlignment="1">
      <alignment horizontal="center" vertical="center" wrapText="1"/>
    </xf>
    <xf numFmtId="174" fontId="21" fillId="0" borderId="0" xfId="41" applyNumberFormat="1" applyFont="1" applyFill="1" applyAlignment="1">
      <alignment/>
    </xf>
    <xf numFmtId="174" fontId="8" fillId="0" borderId="0" xfId="41" applyNumberFormat="1" applyFont="1" applyFill="1" applyAlignment="1">
      <alignment/>
    </xf>
    <xf numFmtId="0" fontId="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1" fontId="20" fillId="0" borderId="0" xfId="41" applyNumberFormat="1" applyFont="1" applyFill="1" applyAlignment="1">
      <alignment horizontal="center"/>
    </xf>
    <xf numFmtId="171" fontId="9" fillId="0" borderId="0" xfId="41" applyNumberFormat="1" applyFont="1" applyFill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83" fontId="13" fillId="0" borderId="12" xfId="0" applyNumberFormat="1" applyFont="1" applyBorder="1" applyAlignment="1">
      <alignment horizontal="center"/>
    </xf>
    <xf numFmtId="183" fontId="13" fillId="0" borderId="41" xfId="41" applyNumberFormat="1" applyFont="1" applyBorder="1" applyAlignment="1">
      <alignment/>
    </xf>
    <xf numFmtId="183" fontId="19" fillId="0" borderId="27" xfId="41" applyNumberFormat="1" applyFont="1" applyFill="1" applyBorder="1" applyAlignment="1">
      <alignment/>
    </xf>
    <xf numFmtId="183" fontId="13" fillId="0" borderId="27" xfId="41" applyNumberFormat="1" applyFont="1" applyBorder="1" applyAlignment="1">
      <alignment/>
    </xf>
    <xf numFmtId="3" fontId="94" fillId="0" borderId="12" xfId="0" applyNumberFormat="1" applyFont="1" applyBorder="1" applyAlignment="1">
      <alignment vertical="center" wrapText="1"/>
    </xf>
    <xf numFmtId="0" fontId="13" fillId="0" borderId="22" xfId="0" applyFont="1" applyBorder="1" applyAlignment="1">
      <alignment/>
    </xf>
    <xf numFmtId="0" fontId="31" fillId="0" borderId="22" xfId="0" applyFont="1" applyBorder="1" applyAlignment="1">
      <alignment/>
    </xf>
    <xf numFmtId="183" fontId="19" fillId="0" borderId="42" xfId="41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183" fontId="13" fillId="0" borderId="12" xfId="41" applyNumberFormat="1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174" fontId="19" fillId="0" borderId="12" xfId="41" applyNumberFormat="1" applyFont="1" applyBorder="1" applyAlignment="1">
      <alignment/>
    </xf>
    <xf numFmtId="183" fontId="19" fillId="0" borderId="12" xfId="41" applyNumberFormat="1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2" xfId="0" applyFont="1" applyBorder="1" applyAlignment="1">
      <alignment wrapText="1"/>
    </xf>
    <xf numFmtId="0" fontId="8" fillId="0" borderId="0" xfId="0" applyFont="1" applyAlignment="1">
      <alignment/>
    </xf>
    <xf numFmtId="174" fontId="8" fillId="0" borderId="0" xfId="0" applyNumberFormat="1" applyFont="1" applyFill="1" applyAlignment="1">
      <alignment/>
    </xf>
    <xf numFmtId="174" fontId="8" fillId="0" borderId="26" xfId="41" applyNumberFormat="1" applyFont="1" applyFill="1" applyBorder="1" applyAlignment="1">
      <alignment vertical="center" wrapText="1"/>
    </xf>
    <xf numFmtId="187" fontId="21" fillId="0" borderId="0" xfId="0" applyNumberFormat="1" applyFont="1" applyFill="1" applyAlignment="1">
      <alignment/>
    </xf>
    <xf numFmtId="174" fontId="21" fillId="0" borderId="26" xfId="41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21" fillId="0" borderId="27" xfId="0" applyFont="1" applyFill="1" applyBorder="1" applyAlignment="1">
      <alignment/>
    </xf>
    <xf numFmtId="173" fontId="21" fillId="0" borderId="0" xfId="41" applyNumberFormat="1" applyFont="1" applyFill="1" applyAlignment="1">
      <alignment/>
    </xf>
    <xf numFmtId="0" fontId="21" fillId="0" borderId="12" xfId="33" applyFont="1" applyBorder="1" applyAlignment="1">
      <alignment horizontal="center" vertical="center" wrapText="1"/>
      <protection/>
    </xf>
    <xf numFmtId="174" fontId="21" fillId="0" borderId="12" xfId="41" applyNumberFormat="1" applyFont="1" applyBorder="1" applyAlignment="1">
      <alignment horizontal="center" vertical="center" wrapText="1"/>
    </xf>
    <xf numFmtId="173" fontId="21" fillId="0" borderId="40" xfId="41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73" fontId="21" fillId="0" borderId="12" xfId="41" applyNumberFormat="1" applyFont="1" applyFill="1" applyBorder="1" applyAlignment="1">
      <alignment horizontal="center" vertical="center" wrapText="1"/>
    </xf>
    <xf numFmtId="174" fontId="21" fillId="0" borderId="0" xfId="41" applyNumberFormat="1" applyFont="1" applyFill="1" applyBorder="1" applyAlignment="1">
      <alignment horizontal="center" vertical="center" wrapText="1"/>
    </xf>
    <xf numFmtId="174" fontId="21" fillId="0" borderId="23" xfId="41" applyNumberFormat="1" applyFont="1" applyFill="1" applyBorder="1" applyAlignment="1">
      <alignment horizontal="center" vertical="center" wrapText="1"/>
    </xf>
    <xf numFmtId="187" fontId="21" fillId="0" borderId="0" xfId="65" applyNumberFormat="1" applyFont="1" applyFill="1" applyBorder="1" applyAlignment="1">
      <alignment horizontal="center" vertical="center" wrapText="1"/>
      <protection/>
    </xf>
    <xf numFmtId="174" fontId="21" fillId="0" borderId="0" xfId="69" applyNumberFormat="1" applyFont="1" applyFill="1" applyBorder="1" applyAlignment="1">
      <alignment vertical="center" wrapText="1"/>
    </xf>
    <xf numFmtId="10" fontId="21" fillId="0" borderId="0" xfId="69" applyNumberFormat="1" applyFont="1" applyFill="1" applyBorder="1" applyAlignment="1">
      <alignment vertical="center" wrapText="1"/>
    </xf>
    <xf numFmtId="10" fontId="21" fillId="0" borderId="0" xfId="69" applyNumberFormat="1" applyFont="1" applyFill="1" applyBorder="1" applyAlignment="1">
      <alignment vertical="center"/>
    </xf>
    <xf numFmtId="174" fontId="21" fillId="0" borderId="0" xfId="4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1" applyNumberFormat="1" applyFont="1" applyBorder="1" applyAlignment="1">
      <alignment horizontal="center" vertical="center" wrapText="1"/>
    </xf>
    <xf numFmtId="0" fontId="8" fillId="0" borderId="12" xfId="33" applyFont="1" applyBorder="1" applyAlignment="1">
      <alignment vertical="center" wrapText="1"/>
      <protection/>
    </xf>
    <xf numFmtId="174" fontId="8" fillId="0" borderId="12" xfId="41" applyNumberFormat="1" applyFont="1" applyFill="1" applyBorder="1" applyAlignment="1">
      <alignment horizontal="center" vertical="center" wrapText="1"/>
    </xf>
    <xf numFmtId="174" fontId="8" fillId="0" borderId="12" xfId="41" applyNumberFormat="1" applyFont="1" applyBorder="1" applyAlignment="1">
      <alignment vertical="center" wrapText="1"/>
    </xf>
    <xf numFmtId="0" fontId="21" fillId="0" borderId="12" xfId="33" applyFont="1" applyBorder="1" applyAlignment="1">
      <alignment vertical="center" wrapText="1"/>
      <protection/>
    </xf>
    <xf numFmtId="174" fontId="21" fillId="0" borderId="12" xfId="41" applyNumberFormat="1" applyFont="1" applyFill="1" applyBorder="1" applyAlignment="1">
      <alignment horizontal="center" vertical="center" wrapText="1"/>
    </xf>
    <xf numFmtId="174" fontId="95" fillId="0" borderId="12" xfId="41" applyNumberFormat="1" applyFont="1" applyFill="1" applyBorder="1" applyAlignment="1">
      <alignment horizontal="center" vertical="center" wrapText="1"/>
    </xf>
    <xf numFmtId="174" fontId="21" fillId="0" borderId="12" xfId="41" applyNumberFormat="1" applyFont="1" applyBorder="1" applyAlignment="1">
      <alignment vertical="center" wrapText="1"/>
    </xf>
    <xf numFmtId="0" fontId="32" fillId="0" borderId="12" xfId="0" applyFont="1" applyFill="1" applyBorder="1" applyAlignment="1">
      <alignment horizontal="center" vertical="center" wrapText="1"/>
    </xf>
    <xf numFmtId="174" fontId="32" fillId="0" borderId="12" xfId="41" applyNumberFormat="1" applyFont="1" applyFill="1" applyBorder="1" applyAlignment="1">
      <alignment horizontal="center" vertical="center" wrapText="1"/>
    </xf>
    <xf numFmtId="174" fontId="96" fillId="0" borderId="12" xfId="4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justify" vertical="center"/>
    </xf>
    <xf numFmtId="0" fontId="13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vertical="center" wrapText="1"/>
    </xf>
    <xf numFmtId="174" fontId="8" fillId="0" borderId="36" xfId="41" applyNumberFormat="1" applyFont="1" applyFill="1" applyBorder="1" applyAlignment="1">
      <alignment horizontal="center" vertical="center" wrapText="1"/>
    </xf>
    <xf numFmtId="174" fontId="8" fillId="33" borderId="36" xfId="41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/>
    </xf>
    <xf numFmtId="0" fontId="21" fillId="0" borderId="43" xfId="0" applyFont="1" applyFill="1" applyBorder="1" applyAlignment="1">
      <alignment wrapText="1"/>
    </xf>
    <xf numFmtId="187" fontId="21" fillId="0" borderId="44" xfId="65" applyNumberFormat="1" applyFont="1" applyFill="1" applyBorder="1" applyAlignment="1">
      <alignment horizontal="center" vertical="center" wrapText="1"/>
      <protection/>
    </xf>
    <xf numFmtId="0" fontId="21" fillId="0" borderId="44" xfId="0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74" fontId="8" fillId="0" borderId="12" xfId="41" applyNumberFormat="1" applyFont="1" applyFill="1" applyBorder="1" applyAlignment="1">
      <alignment vertical="center" wrapText="1"/>
    </xf>
    <xf numFmtId="174" fontId="8" fillId="33" borderId="12" xfId="41" applyNumberFormat="1" applyFont="1" applyFill="1" applyBorder="1" applyAlignment="1">
      <alignment horizontal="center" vertical="center" wrapText="1"/>
    </xf>
    <xf numFmtId="173" fontId="8" fillId="0" borderId="12" xfId="41" applyNumberFormat="1" applyFont="1" applyFill="1" applyBorder="1" applyAlignment="1">
      <alignment vertical="center" wrapText="1"/>
    </xf>
    <xf numFmtId="174" fontId="96" fillId="0" borderId="12" xfId="41" applyNumberFormat="1" applyFont="1" applyFill="1" applyBorder="1" applyAlignment="1">
      <alignment vertical="center" wrapText="1"/>
    </xf>
    <xf numFmtId="174" fontId="8" fillId="0" borderId="12" xfId="41" applyNumberFormat="1" applyFont="1" applyFill="1" applyBorder="1" applyAlignment="1">
      <alignment horizontal="left" vertical="center" wrapText="1"/>
    </xf>
    <xf numFmtId="3" fontId="8" fillId="0" borderId="12" xfId="38" applyNumberFormat="1" applyFont="1" applyFill="1" applyBorder="1" applyAlignment="1">
      <alignment vertical="center" wrapText="1"/>
    </xf>
    <xf numFmtId="3" fontId="8" fillId="0" borderId="12" xfId="38" applyNumberFormat="1" applyFont="1" applyFill="1" applyBorder="1" applyAlignment="1">
      <alignment horizontal="center" vertical="center" wrapText="1"/>
    </xf>
    <xf numFmtId="3" fontId="8" fillId="33" borderId="12" xfId="38" applyNumberFormat="1" applyFont="1" applyFill="1" applyBorder="1" applyAlignment="1">
      <alignment horizontal="center" vertical="center" wrapText="1"/>
    </xf>
    <xf numFmtId="172" fontId="21" fillId="0" borderId="12" xfId="65" applyNumberFormat="1" applyFont="1" applyFill="1" applyBorder="1" applyAlignment="1">
      <alignment vertical="center" wrapText="1"/>
      <protection/>
    </xf>
    <xf numFmtId="174" fontId="21" fillId="0" borderId="12" xfId="41" applyNumberFormat="1" applyFont="1" applyFill="1" applyBorder="1" applyAlignment="1">
      <alignment vertical="center" wrapText="1"/>
    </xf>
    <xf numFmtId="174" fontId="21" fillId="33" borderId="12" xfId="41" applyNumberFormat="1" applyFont="1" applyFill="1" applyBorder="1" applyAlignment="1">
      <alignment horizontal="center" vertical="center" wrapText="1"/>
    </xf>
    <xf numFmtId="173" fontId="21" fillId="0" borderId="12" xfId="41" applyNumberFormat="1" applyFont="1" applyFill="1" applyBorder="1" applyAlignment="1">
      <alignment vertical="center" wrapText="1"/>
    </xf>
    <xf numFmtId="0" fontId="21" fillId="0" borderId="12" xfId="65" applyFont="1" applyFill="1" applyBorder="1" applyAlignment="1">
      <alignment vertical="center" wrapText="1"/>
      <protection/>
    </xf>
    <xf numFmtId="0" fontId="21" fillId="0" borderId="12" xfId="65" applyNumberFormat="1" applyFont="1" applyFill="1" applyBorder="1" applyAlignment="1">
      <alignment vertical="center" wrapText="1"/>
      <protection/>
    </xf>
    <xf numFmtId="4" fontId="21" fillId="0" borderId="12" xfId="0" applyNumberFormat="1" applyFont="1" applyFill="1" applyBorder="1" applyAlignment="1">
      <alignment vertical="center" wrapText="1"/>
    </xf>
    <xf numFmtId="174" fontId="21" fillId="0" borderId="12" xfId="41" applyNumberFormat="1" applyFont="1" applyFill="1" applyBorder="1" applyAlignment="1">
      <alignment horizontal="left" vertical="center" wrapText="1"/>
    </xf>
    <xf numFmtId="183" fontId="97" fillId="0" borderId="12" xfId="41" applyNumberFormat="1" applyFont="1" applyBorder="1" applyAlignment="1">
      <alignment horizontal="lef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vertical="center" wrapText="1"/>
    </xf>
    <xf numFmtId="174" fontId="24" fillId="0" borderId="45" xfId="41" applyNumberFormat="1" applyFont="1" applyFill="1" applyBorder="1" applyAlignment="1">
      <alignment horizontal="center" vertical="center" wrapText="1"/>
    </xf>
    <xf numFmtId="183" fontId="32" fillId="0" borderId="45" xfId="41" applyNumberFormat="1" applyFont="1" applyFill="1" applyBorder="1" applyAlignment="1">
      <alignment horizontal="center" vertical="center" wrapText="1"/>
    </xf>
    <xf numFmtId="183" fontId="32" fillId="0" borderId="45" xfId="41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174" fontId="24" fillId="0" borderId="38" xfId="41" applyNumberFormat="1" applyFont="1" applyFill="1" applyBorder="1" applyAlignment="1">
      <alignment horizontal="center" vertical="center" wrapText="1"/>
    </xf>
    <xf numFmtId="183" fontId="32" fillId="0" borderId="27" xfId="41" applyNumberFormat="1" applyFont="1" applyFill="1" applyBorder="1" applyAlignment="1">
      <alignment horizontal="center" vertical="center" wrapText="1"/>
    </xf>
    <xf numFmtId="183" fontId="32" fillId="0" borderId="27" xfId="41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vertical="center" wrapText="1"/>
    </xf>
    <xf numFmtId="3" fontId="98" fillId="0" borderId="27" xfId="0" applyNumberFormat="1" applyFont="1" applyBorder="1" applyAlignment="1">
      <alignment wrapText="1"/>
    </xf>
    <xf numFmtId="174" fontId="5" fillId="0" borderId="27" xfId="41" applyNumberFormat="1" applyFont="1" applyFill="1" applyBorder="1" applyAlignment="1">
      <alignment vertical="center" wrapText="1"/>
    </xf>
    <xf numFmtId="3" fontId="99" fillId="0" borderId="27" xfId="0" applyNumberFormat="1" applyFont="1" applyBorder="1" applyAlignment="1">
      <alignment vertical="center" wrapText="1"/>
    </xf>
    <xf numFmtId="3" fontId="98" fillId="0" borderId="46" xfId="0" applyNumberFormat="1" applyFont="1" applyBorder="1" applyAlignment="1">
      <alignment/>
    </xf>
    <xf numFmtId="174" fontId="5" fillId="0" borderId="27" xfId="41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vertical="center" wrapText="1"/>
    </xf>
    <xf numFmtId="174" fontId="25" fillId="0" borderId="27" xfId="41" applyNumberFormat="1" applyFont="1" applyFill="1" applyBorder="1" applyAlignment="1">
      <alignment horizontal="center" vertical="center" wrapText="1"/>
    </xf>
    <xf numFmtId="3" fontId="99" fillId="0" borderId="27" xfId="0" applyNumberFormat="1" applyFont="1" applyBorder="1" applyAlignment="1">
      <alignment wrapText="1"/>
    </xf>
    <xf numFmtId="174" fontId="25" fillId="0" borderId="27" xfId="41" applyNumberFormat="1" applyFont="1" applyFill="1" applyBorder="1" applyAlignment="1">
      <alignment horizontal="center" vertical="center" wrapText="1"/>
    </xf>
    <xf numFmtId="174" fontId="5" fillId="0" borderId="36" xfId="41" applyNumberFormat="1" applyFont="1" applyFill="1" applyBorder="1" applyAlignment="1">
      <alignment horizontal="center" vertical="center" wrapText="1"/>
    </xf>
    <xf numFmtId="183" fontId="26" fillId="0" borderId="27" xfId="41" applyNumberFormat="1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183" fontId="26" fillId="0" borderId="27" xfId="41" applyNumberFormat="1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vertical="center" wrapText="1"/>
    </xf>
    <xf numFmtId="174" fontId="5" fillId="0" borderId="42" xfId="41" applyNumberFormat="1" applyFont="1" applyFill="1" applyBorder="1" applyAlignment="1">
      <alignment horizontal="center" vertical="center" wrapText="1"/>
    </xf>
    <xf numFmtId="183" fontId="26" fillId="0" borderId="42" xfId="41" applyNumberFormat="1" applyFont="1" applyFill="1" applyBorder="1" applyAlignment="1">
      <alignment horizontal="center" vertical="center" wrapText="1"/>
    </xf>
    <xf numFmtId="183" fontId="26" fillId="0" borderId="42" xfId="41" applyNumberFormat="1" applyFont="1" applyFill="1" applyBorder="1" applyAlignment="1">
      <alignment horizontal="center" vertical="center" wrapText="1"/>
    </xf>
    <xf numFmtId="3" fontId="100" fillId="0" borderId="12" xfId="0" applyNumberFormat="1" applyFont="1" applyFill="1" applyBorder="1" applyAlignment="1">
      <alignment vertical="center" wrapText="1"/>
    </xf>
    <xf numFmtId="0" fontId="15" fillId="0" borderId="0" xfId="33" applyFont="1" applyAlignment="1">
      <alignment horizontal="center" vertical="center" wrapText="1"/>
      <protection/>
    </xf>
    <xf numFmtId="0" fontId="18" fillId="0" borderId="0" xfId="33" applyFont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174" fontId="8" fillId="0" borderId="12" xfId="41" applyNumberFormat="1" applyFont="1" applyBorder="1" applyAlignment="1">
      <alignment horizontal="center" vertical="center" wrapText="1"/>
    </xf>
    <xf numFmtId="174" fontId="18" fillId="0" borderId="0" xfId="41" applyNumberFormat="1" applyFont="1" applyBorder="1" applyAlignment="1">
      <alignment horizontal="center" vertical="center" wrapText="1"/>
    </xf>
    <xf numFmtId="174" fontId="15" fillId="0" borderId="0" xfId="41" applyNumberFormat="1" applyFont="1" applyAlignment="1">
      <alignment horizontal="center" vertical="center" wrapText="1"/>
    </xf>
    <xf numFmtId="174" fontId="18" fillId="0" borderId="0" xfId="41" applyNumberFormat="1" applyFont="1" applyAlignment="1">
      <alignment horizontal="center" vertical="center" wrapText="1"/>
    </xf>
    <xf numFmtId="174" fontId="15" fillId="0" borderId="0" xfId="41" applyNumberFormat="1" applyFont="1" applyAlignment="1">
      <alignment horizontal="center"/>
    </xf>
    <xf numFmtId="173" fontId="8" fillId="0" borderId="40" xfId="41" applyNumberFormat="1" applyFont="1" applyBorder="1" applyAlignment="1">
      <alignment horizontal="center" vertical="center" wrapText="1"/>
    </xf>
    <xf numFmtId="173" fontId="8" fillId="0" borderId="47" xfId="41" applyNumberFormat="1" applyFont="1" applyBorder="1" applyAlignment="1">
      <alignment horizontal="center" vertical="center" wrapText="1"/>
    </xf>
    <xf numFmtId="174" fontId="32" fillId="0" borderId="40" xfId="41" applyNumberFormat="1" applyFont="1" applyFill="1" applyBorder="1" applyAlignment="1">
      <alignment horizontal="center" vertical="center" wrapText="1"/>
    </xf>
    <xf numFmtId="174" fontId="32" fillId="0" borderId="47" xfId="41" applyNumberFormat="1" applyFont="1" applyFill="1" applyBorder="1" applyAlignment="1">
      <alignment horizontal="center" vertical="center" wrapText="1"/>
    </xf>
    <xf numFmtId="173" fontId="15" fillId="0" borderId="0" xfId="41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32" fillId="0" borderId="12" xfId="0" applyFont="1" applyFill="1" applyBorder="1" applyAlignment="1">
      <alignment horizontal="center" vertical="center" wrapText="1"/>
    </xf>
    <xf numFmtId="0" fontId="32" fillId="0" borderId="48" xfId="0" applyFont="1" applyFill="1" applyBorder="1" applyAlignment="1">
      <alignment horizontal="center" vertical="center" wrapText="1"/>
    </xf>
    <xf numFmtId="0" fontId="32" fillId="0" borderId="49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2" fontId="13" fillId="32" borderId="0" xfId="0" applyNumberFormat="1" applyFont="1" applyFill="1" applyAlignment="1">
      <alignment horizontal="center" vertical="center" wrapText="1"/>
    </xf>
    <xf numFmtId="0" fontId="14" fillId="32" borderId="22" xfId="0" applyFont="1" applyFill="1" applyBorder="1" applyAlignment="1">
      <alignment horizontal="right"/>
    </xf>
    <xf numFmtId="0" fontId="8" fillId="32" borderId="12" xfId="0" applyFont="1" applyFill="1" applyBorder="1" applyAlignment="1">
      <alignment horizontal="center" vertical="center" wrapText="1"/>
    </xf>
    <xf numFmtId="0" fontId="8" fillId="32" borderId="48" xfId="0" applyFont="1" applyFill="1" applyBorder="1" applyAlignment="1">
      <alignment horizontal="center"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14" fillId="32" borderId="0" xfId="0" applyFont="1" applyFill="1" applyAlignment="1">
      <alignment horizontal="center" vertical="center" wrapText="1"/>
    </xf>
    <xf numFmtId="0" fontId="96" fillId="32" borderId="48" xfId="0" applyFont="1" applyFill="1" applyBorder="1" applyAlignment="1">
      <alignment horizontal="center" vertical="center" wrapText="1"/>
    </xf>
    <xf numFmtId="0" fontId="96" fillId="32" borderId="50" xfId="0" applyFont="1" applyFill="1" applyBorder="1" applyAlignment="1">
      <alignment horizontal="center" vertical="center" wrapText="1"/>
    </xf>
    <xf numFmtId="0" fontId="96" fillId="32" borderId="23" xfId="0" applyFont="1" applyFill="1" applyBorder="1" applyAlignment="1">
      <alignment horizontal="center" vertical="center" wrapText="1"/>
    </xf>
    <xf numFmtId="0" fontId="96" fillId="32" borderId="51" xfId="0" applyFont="1" applyFill="1" applyBorder="1" applyAlignment="1">
      <alignment horizontal="center" vertical="center" wrapText="1"/>
    </xf>
    <xf numFmtId="0" fontId="96" fillId="32" borderId="49" xfId="0" applyFont="1" applyFill="1" applyBorder="1" applyAlignment="1">
      <alignment horizontal="center" vertical="center" wrapText="1"/>
    </xf>
    <xf numFmtId="0" fontId="96" fillId="32" borderId="5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84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64" applyFont="1" applyFill="1" applyBorder="1" applyAlignment="1">
      <alignment horizontal="center" vertical="center" wrapText="1"/>
      <protection/>
    </xf>
    <xf numFmtId="0" fontId="8" fillId="0" borderId="53" xfId="64" applyFont="1" applyFill="1" applyBorder="1" applyAlignment="1">
      <alignment horizontal="center" vertical="center" wrapText="1"/>
      <protection/>
    </xf>
    <xf numFmtId="0" fontId="8" fillId="0" borderId="50" xfId="64" applyFont="1" applyFill="1" applyBorder="1" applyAlignment="1">
      <alignment horizontal="center" vertical="center" wrapText="1"/>
      <protection/>
    </xf>
    <xf numFmtId="0" fontId="8" fillId="0" borderId="23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51" xfId="64" applyFont="1" applyFill="1" applyBorder="1" applyAlignment="1">
      <alignment horizontal="center" vertical="center" wrapText="1"/>
      <protection/>
    </xf>
    <xf numFmtId="0" fontId="8" fillId="0" borderId="49" xfId="64" applyFont="1" applyFill="1" applyBorder="1" applyAlignment="1">
      <alignment horizontal="center" vertical="center" wrapText="1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52" xfId="64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2" fontId="15" fillId="32" borderId="0" xfId="0" applyNumberFormat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22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173" fontId="8" fillId="0" borderId="40" xfId="41" applyNumberFormat="1" applyFont="1" applyFill="1" applyBorder="1" applyAlignment="1">
      <alignment horizontal="center" vertical="center" wrapText="1"/>
    </xf>
    <xf numFmtId="173" fontId="8" fillId="0" borderId="41" xfId="41" applyNumberFormat="1" applyFont="1" applyFill="1" applyBorder="1" applyAlignment="1">
      <alignment horizontal="center" vertical="center" wrapText="1"/>
    </xf>
    <xf numFmtId="173" fontId="8" fillId="0" borderId="47" xfId="41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 vertical="center" wrapText="1"/>
    </xf>
    <xf numFmtId="0" fontId="14" fillId="0" borderId="22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0" xfId="64" applyFont="1" applyFill="1" applyBorder="1" applyAlignment="1">
      <alignment horizontal="center" vertical="center" wrapText="1"/>
      <protection/>
    </xf>
    <xf numFmtId="0" fontId="8" fillId="0" borderId="47" xfId="64" applyFont="1" applyFill="1" applyBorder="1" applyAlignment="1">
      <alignment horizontal="center" vertical="center" wrapText="1"/>
      <protection/>
    </xf>
    <xf numFmtId="0" fontId="8" fillId="0" borderId="40" xfId="64" applyFont="1" applyBorder="1" applyAlignment="1">
      <alignment horizontal="center" vertical="center" wrapText="1"/>
      <protection/>
    </xf>
    <xf numFmtId="0" fontId="8" fillId="0" borderId="47" xfId="64" applyFont="1" applyBorder="1" applyAlignment="1">
      <alignment horizontal="center" vertical="center" wrapText="1"/>
      <protection/>
    </xf>
    <xf numFmtId="0" fontId="8" fillId="32" borderId="53" xfId="0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73" fontId="15" fillId="0" borderId="0" xfId="41" applyNumberFormat="1" applyFont="1" applyAlignment="1">
      <alignment horizontal="center"/>
    </xf>
  </cellXfs>
  <cellStyles count="67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Bình thường 3" xfId="33"/>
    <cellStyle name="Comma [0] 2" xfId="34"/>
    <cellStyle name="Comma 12" xfId="35"/>
    <cellStyle name="Comma 2" xfId="36"/>
    <cellStyle name="Comma 3" xfId="37"/>
    <cellStyle name="Comma [0]" xfId="38"/>
    <cellStyle name="Đầu ra" xfId="39"/>
    <cellStyle name="Đầu vào" xfId="40"/>
    <cellStyle name="Comma" xfId="41"/>
    <cellStyle name="Đề mục 1" xfId="42"/>
    <cellStyle name="Đề mục 2" xfId="43"/>
    <cellStyle name="Đề mục 3" xfId="44"/>
    <cellStyle name="Đề mục 4" xfId="45"/>
    <cellStyle name="Ghi chú" xfId="46"/>
    <cellStyle name="Header1" xfId="47"/>
    <cellStyle name="Header2" xfId="48"/>
    <cellStyle name="Kiểm tra Ô" xfId="49"/>
    <cellStyle name="Nhấn1" xfId="50"/>
    <cellStyle name="Nhấn2" xfId="51"/>
    <cellStyle name="Nhấn3" xfId="52"/>
    <cellStyle name="Nhấn4" xfId="53"/>
    <cellStyle name="Nhấn5" xfId="54"/>
    <cellStyle name="Nhấn6" xfId="55"/>
    <cellStyle name="Normal 11" xfId="56"/>
    <cellStyle name="Normal 12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_Sheet1" xfId="65"/>
    <cellStyle name="Ô được Nối kết" xfId="66"/>
    <cellStyle name="Percent 2" xfId="67"/>
    <cellStyle name="Percent 2 2" xfId="68"/>
    <cellStyle name="Percent 3" xfId="69"/>
    <cellStyle name="Percent" xfId="70"/>
    <cellStyle name="Currency [0]" xfId="71"/>
    <cellStyle name="Currency" xfId="72"/>
    <cellStyle name="Tiêu đề" xfId="73"/>
    <cellStyle name="Tính toán" xfId="74"/>
    <cellStyle name="Tổng" xfId="75"/>
    <cellStyle name="Tốt" xfId="76"/>
    <cellStyle name="Trung tính" xfId="77"/>
    <cellStyle name="Văn bản Cảnh báo" xfId="78"/>
    <cellStyle name="Văn bản Giải thích" xfId="79"/>
    <cellStyle name="Xấu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lieu%20COPPy%20may%20chi%20KieuMOI\N&#259;m%202020\bao%20cao\16.giai%20ngam%20qiu%20I\Bi&#7875;u%20b&#225;o%20c&#225;o%20Qu&#253;%20I%20%20huyen%20ba%20b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ểu số 01"/>
      <sheetName val="Biểu số 02"/>
      <sheetName val="Biểu số 03"/>
    </sheetNames>
    <sheetDataSet>
      <sheetData sheetId="2">
        <row r="13">
          <cell r="E13">
            <v>0</v>
          </cell>
          <cell r="F13">
            <v>849000000</v>
          </cell>
        </row>
        <row r="29">
          <cell r="F29">
            <v>2500000000</v>
          </cell>
        </row>
        <row r="45">
          <cell r="F45">
            <v>665000000</v>
          </cell>
          <cell r="K45">
            <v>3380000</v>
          </cell>
        </row>
        <row r="47">
          <cell r="E47">
            <v>5880000000</v>
          </cell>
        </row>
        <row r="63">
          <cell r="E63">
            <v>1620000000</v>
          </cell>
        </row>
        <row r="71">
          <cell r="E71">
            <v>600000000</v>
          </cell>
        </row>
        <row r="73">
          <cell r="E73">
            <v>596000000</v>
          </cell>
        </row>
        <row r="75">
          <cell r="E75">
            <v>32000000</v>
          </cell>
        </row>
        <row r="77">
          <cell r="E77">
            <v>79000000</v>
          </cell>
        </row>
        <row r="81">
          <cell r="F81">
            <v>1309000000</v>
          </cell>
        </row>
        <row r="88">
          <cell r="F88">
            <v>1007000000</v>
          </cell>
        </row>
        <row r="91">
          <cell r="F91">
            <v>250000000</v>
          </cell>
        </row>
        <row r="95">
          <cell r="F95">
            <v>100000000</v>
          </cell>
        </row>
        <row r="96">
          <cell r="F96">
            <v>130000000</v>
          </cell>
        </row>
        <row r="97">
          <cell r="F97">
            <v>2000000000</v>
          </cell>
        </row>
        <row r="100">
          <cell r="F100">
            <v>500000000</v>
          </cell>
        </row>
        <row r="101">
          <cell r="F101">
            <v>2200000000</v>
          </cell>
        </row>
        <row r="113">
          <cell r="F113">
            <v>100000000</v>
          </cell>
        </row>
        <row r="115">
          <cell r="F115">
            <v>1140000000</v>
          </cell>
        </row>
        <row r="116">
          <cell r="F116">
            <v>100000000</v>
          </cell>
        </row>
        <row r="117">
          <cell r="F117">
            <v>100000000</v>
          </cell>
        </row>
        <row r="118">
          <cell r="F118">
            <v>100000000</v>
          </cell>
        </row>
        <row r="119">
          <cell r="F119">
            <v>100000000</v>
          </cell>
        </row>
        <row r="120">
          <cell r="F120">
            <v>60000000</v>
          </cell>
        </row>
        <row r="121">
          <cell r="F121">
            <v>70000000</v>
          </cell>
        </row>
        <row r="122">
          <cell r="F122">
            <v>150000000</v>
          </cell>
        </row>
        <row r="123">
          <cell r="F123">
            <v>100000000</v>
          </cell>
        </row>
        <row r="124">
          <cell r="F124">
            <v>100000000</v>
          </cell>
        </row>
        <row r="125">
          <cell r="F125">
            <v>100000000</v>
          </cell>
        </row>
        <row r="126">
          <cell r="F126">
            <v>100000000</v>
          </cell>
        </row>
        <row r="127">
          <cell r="F127">
            <v>60000000</v>
          </cell>
        </row>
        <row r="132">
          <cell r="K132">
            <v>11157059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5.50390625" style="49" customWidth="1"/>
    <col min="2" max="2" width="31.25390625" style="49" customWidth="1"/>
    <col min="3" max="3" width="16.50390625" style="60" bestFit="1" customWidth="1"/>
    <col min="4" max="4" width="15.125" style="60" customWidth="1"/>
    <col min="5" max="5" width="11.125" style="56" customWidth="1"/>
    <col min="6" max="16384" width="9.00390625" style="49" customWidth="1"/>
  </cols>
  <sheetData>
    <row r="1" spans="1:5" s="47" customFormat="1" ht="21" customHeight="1">
      <c r="A1" s="45"/>
      <c r="B1" s="46"/>
      <c r="C1" s="57"/>
      <c r="D1" s="449" t="s">
        <v>103</v>
      </c>
      <c r="E1" s="449"/>
    </row>
    <row r="2" spans="1:5" s="47" customFormat="1" ht="24" customHeight="1">
      <c r="A2" s="364" t="s">
        <v>301</v>
      </c>
      <c r="B2" s="364"/>
      <c r="C2" s="364"/>
      <c r="D2" s="364"/>
      <c r="E2" s="364"/>
    </row>
    <row r="3" spans="1:5" s="47" customFormat="1" ht="42.75" customHeight="1">
      <c r="A3" s="365" t="str">
        <f>'Bieu 94'!A3:G3</f>
        <v>(Kèm theo Quyết định số:         /QĐ-UBND ngày     tháng 4 năm 2024 của UBND huyện Ba Bể)</v>
      </c>
      <c r="B3" s="365"/>
      <c r="C3" s="365"/>
      <c r="D3" s="365"/>
      <c r="E3" s="365"/>
    </row>
    <row r="4" spans="1:5" ht="15">
      <c r="A4" s="48"/>
      <c r="B4" s="48"/>
      <c r="C4" s="58"/>
      <c r="D4" s="58"/>
      <c r="E4" s="61" t="s">
        <v>250</v>
      </c>
    </row>
    <row r="5" spans="1:5" ht="15" customHeight="1">
      <c r="A5" s="366" t="s">
        <v>0</v>
      </c>
      <c r="B5" s="366" t="s">
        <v>93</v>
      </c>
      <c r="C5" s="367" t="s">
        <v>94</v>
      </c>
      <c r="D5" s="367" t="s">
        <v>253</v>
      </c>
      <c r="E5" s="372" t="s">
        <v>106</v>
      </c>
    </row>
    <row r="6" spans="1:5" ht="47.25" customHeight="1">
      <c r="A6" s="366"/>
      <c r="B6" s="366"/>
      <c r="C6" s="367"/>
      <c r="D6" s="367"/>
      <c r="E6" s="373"/>
    </row>
    <row r="7" spans="1:5" ht="15">
      <c r="A7" s="276" t="s">
        <v>7</v>
      </c>
      <c r="B7" s="276" t="s">
        <v>8</v>
      </c>
      <c r="C7" s="277">
        <v>1</v>
      </c>
      <c r="D7" s="277">
        <v>2</v>
      </c>
      <c r="E7" s="278" t="s">
        <v>107</v>
      </c>
    </row>
    <row r="8" spans="1:5" ht="28.5" customHeight="1">
      <c r="A8" s="289" t="s">
        <v>7</v>
      </c>
      <c r="B8" s="291" t="s">
        <v>109</v>
      </c>
      <c r="C8" s="292">
        <f>C9+C12</f>
        <v>62000000000</v>
      </c>
      <c r="D8" s="292">
        <f>D9+D12</f>
        <v>8776911067</v>
      </c>
      <c r="E8" s="293">
        <f>E9+E12</f>
        <v>14.156308172580644</v>
      </c>
    </row>
    <row r="9" spans="1:5" ht="21" customHeight="1">
      <c r="A9" s="289" t="s">
        <v>3</v>
      </c>
      <c r="B9" s="291" t="s">
        <v>110</v>
      </c>
      <c r="C9" s="292">
        <f>C10+C11</f>
        <v>62000000000</v>
      </c>
      <c r="D9" s="292">
        <f>D10+D11</f>
        <v>8776911067</v>
      </c>
      <c r="E9" s="293">
        <f aca="true" t="shared" si="0" ref="E9:E21">D9/C9*100</f>
        <v>14.156308172580644</v>
      </c>
    </row>
    <row r="10" spans="1:5" ht="21" customHeight="1">
      <c r="A10" s="276" t="s">
        <v>32</v>
      </c>
      <c r="B10" s="294" t="s">
        <v>111</v>
      </c>
      <c r="C10" s="295">
        <v>62000000000</v>
      </c>
      <c r="D10" s="363">
        <f>'Bieu 94'!E8</f>
        <v>8776911067</v>
      </c>
      <c r="E10" s="293">
        <f>D10/C10*100</f>
        <v>14.156308172580644</v>
      </c>
    </row>
    <row r="11" spans="1:5" ht="21" customHeight="1">
      <c r="A11" s="276" t="s">
        <v>32</v>
      </c>
      <c r="B11" s="294" t="s">
        <v>112</v>
      </c>
      <c r="C11" s="295">
        <f>'Bieu 94'!D26</f>
        <v>0</v>
      </c>
      <c r="D11" s="296">
        <f>'Bieu 94'!E26</f>
        <v>0</v>
      </c>
      <c r="E11" s="293"/>
    </row>
    <row r="12" spans="1:5" s="54" customFormat="1" ht="32.25" customHeight="1">
      <c r="A12" s="289" t="s">
        <v>5</v>
      </c>
      <c r="B12" s="291" t="s">
        <v>98</v>
      </c>
      <c r="C12" s="296"/>
      <c r="D12" s="300"/>
      <c r="E12" s="293"/>
    </row>
    <row r="13" spans="1:5" s="54" customFormat="1" ht="21" customHeight="1">
      <c r="A13" s="289" t="s">
        <v>8</v>
      </c>
      <c r="B13" s="291" t="s">
        <v>9</v>
      </c>
      <c r="C13" s="290">
        <f>C14+C18</f>
        <v>588727000000</v>
      </c>
      <c r="D13" s="290">
        <f>D14+D18</f>
        <v>98092233724</v>
      </c>
      <c r="E13" s="293">
        <f>D13/C13*100</f>
        <v>16.66175217443739</v>
      </c>
    </row>
    <row r="14" spans="1:5" s="54" customFormat="1" ht="21" customHeight="1">
      <c r="A14" s="289" t="s">
        <v>3</v>
      </c>
      <c r="B14" s="291" t="s">
        <v>99</v>
      </c>
      <c r="C14" s="290">
        <f>C15+C16+C17</f>
        <v>472151000000</v>
      </c>
      <c r="D14" s="290">
        <f>D15+D16+D17</f>
        <v>94250702625</v>
      </c>
      <c r="E14" s="293">
        <f>D14/C14*100</f>
        <v>19.961983057327</v>
      </c>
    </row>
    <row r="15" spans="1:5" s="54" customFormat="1" ht="21" customHeight="1">
      <c r="A15" s="276">
        <v>1</v>
      </c>
      <c r="B15" s="294" t="s">
        <v>11</v>
      </c>
      <c r="C15" s="277">
        <f>'bieu 095'!E11</f>
        <v>38862000000</v>
      </c>
      <c r="D15" s="277">
        <f>'bieu 095'!G11</f>
        <v>8477853000</v>
      </c>
      <c r="E15" s="297">
        <f t="shared" si="0"/>
        <v>21.81527713447584</v>
      </c>
    </row>
    <row r="16" spans="1:5" s="54" customFormat="1" ht="21" customHeight="1">
      <c r="A16" s="276">
        <v>2</v>
      </c>
      <c r="B16" s="294" t="s">
        <v>4</v>
      </c>
      <c r="C16" s="277">
        <f>'bieu 095'!E20</f>
        <v>423846000000</v>
      </c>
      <c r="D16" s="277">
        <f>'bieu 095'!G20</f>
        <v>85772849625</v>
      </c>
      <c r="E16" s="297">
        <f t="shared" si="0"/>
        <v>20.23679582324712</v>
      </c>
    </row>
    <row r="17" spans="1:5" s="54" customFormat="1" ht="21" customHeight="1">
      <c r="A17" s="276">
        <v>3</v>
      </c>
      <c r="B17" s="294" t="s">
        <v>25</v>
      </c>
      <c r="C17" s="277">
        <f>'bieu 095'!E36</f>
        <v>9443000000</v>
      </c>
      <c r="D17" s="277"/>
      <c r="E17" s="297">
        <f t="shared" si="0"/>
        <v>0</v>
      </c>
    </row>
    <row r="18" spans="1:5" s="54" customFormat="1" ht="33" customHeight="1">
      <c r="A18" s="289" t="s">
        <v>5</v>
      </c>
      <c r="B18" s="291" t="s">
        <v>108</v>
      </c>
      <c r="C18" s="290">
        <f>C19+C21+C20</f>
        <v>116576000000</v>
      </c>
      <c r="D18" s="290">
        <f>D19+D21</f>
        <v>3841531099</v>
      </c>
      <c r="E18" s="293">
        <f t="shared" si="0"/>
        <v>3.2953018623044192</v>
      </c>
    </row>
    <row r="19" spans="1:5" s="54" customFormat="1" ht="21" customHeight="1">
      <c r="A19" s="276">
        <v>1</v>
      </c>
      <c r="B19" s="294" t="s">
        <v>100</v>
      </c>
      <c r="C19" s="277">
        <f>'bieu 095'!E38</f>
        <v>93846000000</v>
      </c>
      <c r="D19" s="277">
        <f>'bieu 095'!G38</f>
        <v>3841531099</v>
      </c>
      <c r="E19" s="297"/>
    </row>
    <row r="20" spans="1:5" s="54" customFormat="1" ht="36" customHeight="1">
      <c r="A20" s="276">
        <v>2</v>
      </c>
      <c r="B20" s="294" t="s">
        <v>297</v>
      </c>
      <c r="C20" s="277">
        <f>'bieu 095'!E48</f>
        <v>5962000000</v>
      </c>
      <c r="D20" s="277"/>
      <c r="E20" s="297"/>
    </row>
    <row r="21" spans="1:5" s="54" customFormat="1" ht="30" customHeight="1">
      <c r="A21" s="276">
        <v>3</v>
      </c>
      <c r="B21" s="294" t="s">
        <v>296</v>
      </c>
      <c r="C21" s="277">
        <f>'bieu 095'!E56</f>
        <v>16768000000</v>
      </c>
      <c r="D21" s="277">
        <f>'bieu 095'!G48</f>
        <v>0</v>
      </c>
      <c r="E21" s="297">
        <f t="shared" si="0"/>
        <v>0</v>
      </c>
    </row>
    <row r="22" spans="1:5" ht="22.5" customHeight="1">
      <c r="A22" s="48"/>
      <c r="B22" s="48"/>
      <c r="C22" s="368"/>
      <c r="D22" s="368"/>
      <c r="E22" s="368"/>
    </row>
    <row r="23" spans="1:5" ht="15.75" customHeight="1">
      <c r="A23" s="48"/>
      <c r="B23" s="48"/>
      <c r="C23" s="369"/>
      <c r="D23" s="369"/>
      <c r="E23" s="369"/>
    </row>
    <row r="24" spans="3:5" ht="15.75" customHeight="1">
      <c r="C24" s="369"/>
      <c r="D24" s="369"/>
      <c r="E24" s="369"/>
    </row>
    <row r="25" spans="3:5" ht="15" customHeight="1">
      <c r="C25" s="370"/>
      <c r="D25" s="370"/>
      <c r="E25" s="370"/>
    </row>
    <row r="26" spans="3:5" ht="16.5">
      <c r="C26" s="59"/>
      <c r="D26" s="59"/>
      <c r="E26" s="55"/>
    </row>
    <row r="27" spans="3:5" ht="16.5">
      <c r="C27" s="59"/>
      <c r="D27" s="59"/>
      <c r="E27" s="55"/>
    </row>
    <row r="28" spans="3:5" ht="16.5">
      <c r="C28" s="59"/>
      <c r="D28" s="59"/>
      <c r="E28" s="55"/>
    </row>
    <row r="29" spans="3:5" ht="16.5">
      <c r="C29" s="371"/>
      <c r="D29" s="371"/>
      <c r="E29" s="371"/>
    </row>
    <row r="42" ht="84" customHeight="1" hidden="1"/>
    <row r="43" spans="1:2" ht="15.75" hidden="1">
      <c r="A43" s="50" t="s">
        <v>3</v>
      </c>
      <c r="B43" s="51" t="s">
        <v>95</v>
      </c>
    </row>
    <row r="44" spans="1:2" ht="15.75" hidden="1">
      <c r="A44" s="52" t="s">
        <v>32</v>
      </c>
      <c r="B44" s="53" t="s">
        <v>96</v>
      </c>
    </row>
    <row r="45" spans="1:2" ht="25.5" hidden="1">
      <c r="A45" s="52" t="s">
        <v>32</v>
      </c>
      <c r="B45" s="53" t="s">
        <v>97</v>
      </c>
    </row>
    <row r="46" ht="15" hidden="1"/>
    <row r="47" ht="15" hidden="1"/>
  </sheetData>
  <sheetProtection/>
  <mergeCells count="13">
    <mergeCell ref="D1:E1"/>
    <mergeCell ref="C22:E22"/>
    <mergeCell ref="C23:E23"/>
    <mergeCell ref="C24:E24"/>
    <mergeCell ref="C25:E25"/>
    <mergeCell ref="C29:E29"/>
    <mergeCell ref="E5:E6"/>
    <mergeCell ref="A2:E2"/>
    <mergeCell ref="A3:E3"/>
    <mergeCell ref="A5:A6"/>
    <mergeCell ref="B5:B6"/>
    <mergeCell ref="C5:C6"/>
    <mergeCell ref="D5:D6"/>
  </mergeCells>
  <printOptions/>
  <pageMargins left="0.7" right="0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4.00390625" style="170" customWidth="1"/>
    <col min="2" max="2" width="32.375" style="170" customWidth="1"/>
    <col min="3" max="3" width="12.125" style="171" hidden="1" customWidth="1"/>
    <col min="4" max="4" width="16.25390625" style="170" bestFit="1" customWidth="1"/>
    <col min="5" max="5" width="15.75390625" style="170" customWidth="1"/>
    <col min="6" max="6" width="8.125" style="170" customWidth="1"/>
    <col min="7" max="7" width="7.625" style="170" customWidth="1"/>
    <col min="8" max="8" width="13.125" style="170" bestFit="1" customWidth="1"/>
    <col min="9" max="9" width="0" style="170" hidden="1" customWidth="1"/>
    <col min="10" max="10" width="18.125" style="170" hidden="1" customWidth="1"/>
    <col min="11" max="11" width="17.125" style="170" hidden="1" customWidth="1"/>
    <col min="12" max="12" width="14.50390625" style="170" hidden="1" customWidth="1"/>
    <col min="13" max="15" width="0" style="170" hidden="1" customWidth="1"/>
    <col min="16" max="16384" width="9.00390625" style="170" customWidth="1"/>
  </cols>
  <sheetData>
    <row r="1" spans="1:7" ht="16.5">
      <c r="A1" s="169" t="s">
        <v>56</v>
      </c>
      <c r="E1" s="376" t="s">
        <v>152</v>
      </c>
      <c r="F1" s="376"/>
      <c r="G1" s="376"/>
    </row>
    <row r="2" spans="1:7" ht="24.75" customHeight="1">
      <c r="A2" s="378" t="s">
        <v>302</v>
      </c>
      <c r="B2" s="378"/>
      <c r="C2" s="378"/>
      <c r="D2" s="378"/>
      <c r="E2" s="378"/>
      <c r="F2" s="378"/>
      <c r="G2" s="378"/>
    </row>
    <row r="3" spans="1:7" ht="29.25" customHeight="1">
      <c r="A3" s="379" t="str">
        <f>'bieu 095'!A3:H3</f>
        <v>(Kèm theo Quyết định số:         /QĐ-UBND ngày     tháng 4 năm 2024 của UBND huyện Ba Bể)</v>
      </c>
      <c r="B3" s="379"/>
      <c r="C3" s="379"/>
      <c r="D3" s="379"/>
      <c r="E3" s="379"/>
      <c r="F3" s="379"/>
      <c r="G3" s="379"/>
    </row>
    <row r="4" ht="15.75">
      <c r="G4" s="173" t="s">
        <v>250</v>
      </c>
    </row>
    <row r="5" spans="1:7" s="174" customFormat="1" ht="17.25" customHeight="1">
      <c r="A5" s="380" t="s">
        <v>0</v>
      </c>
      <c r="B5" s="380" t="s">
        <v>115</v>
      </c>
      <c r="C5" s="374" t="s">
        <v>251</v>
      </c>
      <c r="D5" s="381" t="s">
        <v>285</v>
      </c>
      <c r="E5" s="383" t="s">
        <v>303</v>
      </c>
      <c r="F5" s="380" t="s">
        <v>116</v>
      </c>
      <c r="G5" s="380"/>
    </row>
    <row r="6" spans="1:7" s="174" customFormat="1" ht="49.5" customHeight="1">
      <c r="A6" s="380"/>
      <c r="B6" s="380"/>
      <c r="C6" s="375"/>
      <c r="D6" s="382"/>
      <c r="E6" s="384"/>
      <c r="F6" s="298" t="s">
        <v>105</v>
      </c>
      <c r="G6" s="298" t="s">
        <v>117</v>
      </c>
    </row>
    <row r="7" spans="1:7" s="174" customFormat="1" ht="19.5" customHeight="1">
      <c r="A7" s="298" t="s">
        <v>7</v>
      </c>
      <c r="B7" s="298" t="s">
        <v>8</v>
      </c>
      <c r="C7" s="299"/>
      <c r="D7" s="298">
        <v>1</v>
      </c>
      <c r="E7" s="298">
        <v>2</v>
      </c>
      <c r="F7" s="298" t="s">
        <v>118</v>
      </c>
      <c r="G7" s="298">
        <v>4</v>
      </c>
    </row>
    <row r="8" spans="1:7" s="174" customFormat="1" ht="28.5" customHeight="1">
      <c r="A8" s="332" t="s">
        <v>7</v>
      </c>
      <c r="B8" s="333" t="s">
        <v>119</v>
      </c>
      <c r="C8" s="334">
        <f>C9</f>
        <v>8414238000</v>
      </c>
      <c r="D8" s="334">
        <f>D9</f>
        <v>62000000000</v>
      </c>
      <c r="E8" s="334">
        <f>E9</f>
        <v>8776911067</v>
      </c>
      <c r="F8" s="335">
        <f>E8/D8*100</f>
        <v>14.156308172580644</v>
      </c>
      <c r="G8" s="336">
        <f>E8/C8*100</f>
        <v>104.31023067091756</v>
      </c>
    </row>
    <row r="9" spans="1:11" s="174" customFormat="1" ht="15.75">
      <c r="A9" s="337" t="s">
        <v>3</v>
      </c>
      <c r="B9" s="338" t="s">
        <v>111</v>
      </c>
      <c r="C9" s="175">
        <f>SUM(C10:C25)</f>
        <v>8414238000</v>
      </c>
      <c r="D9" s="175">
        <f>SUM(D10:D25)</f>
        <v>62000000000</v>
      </c>
      <c r="E9" s="339">
        <f>SUM(E10:E25)</f>
        <v>8776911067</v>
      </c>
      <c r="F9" s="340">
        <f>E9/D9*100</f>
        <v>14.156308172580644</v>
      </c>
      <c r="G9" s="341">
        <f>E9/C9*100</f>
        <v>104.31023067091756</v>
      </c>
      <c r="J9" s="175">
        <f>SUM(J10:J25)</f>
        <v>62000000000000</v>
      </c>
      <c r="K9" s="175">
        <f>SUM(K10:K25)</f>
        <v>8776911067000</v>
      </c>
    </row>
    <row r="10" spans="1:12" s="174" customFormat="1" ht="15.75">
      <c r="A10" s="342">
        <v>1</v>
      </c>
      <c r="B10" s="343" t="s">
        <v>120</v>
      </c>
      <c r="C10" s="344">
        <v>284236000</v>
      </c>
      <c r="D10" s="345">
        <v>1780000000</v>
      </c>
      <c r="E10" s="346">
        <v>308167723</v>
      </c>
      <c r="F10" s="340">
        <f>E10/D10*100</f>
        <v>17.31279342696629</v>
      </c>
      <c r="G10" s="341">
        <f aca="true" t="shared" si="0" ref="G10:G24">E10/C10*100</f>
        <v>108.41966640397416</v>
      </c>
      <c r="H10" s="176"/>
      <c r="I10" s="174">
        <v>1000</v>
      </c>
      <c r="J10" s="176">
        <f>D10*I10</f>
        <v>1780000000000</v>
      </c>
      <c r="K10" s="176">
        <f>E10*I10</f>
        <v>308167723000</v>
      </c>
      <c r="L10" s="176">
        <f>C10*I10</f>
        <v>284236000000</v>
      </c>
    </row>
    <row r="11" spans="1:12" s="174" customFormat="1" ht="25.5">
      <c r="A11" s="342">
        <v>2</v>
      </c>
      <c r="B11" s="343" t="s">
        <v>121</v>
      </c>
      <c r="C11" s="345">
        <v>0</v>
      </c>
      <c r="D11" s="345">
        <v>0</v>
      </c>
      <c r="E11" s="345"/>
      <c r="F11" s="340"/>
      <c r="G11" s="341"/>
      <c r="H11" s="176"/>
      <c r="I11" s="174">
        <v>1000</v>
      </c>
      <c r="J11" s="176">
        <f aca="true" t="shared" si="1" ref="J11:J29">D11*I11</f>
        <v>0</v>
      </c>
      <c r="K11" s="176">
        <f aca="true" t="shared" si="2" ref="K11:K29">E11*I11</f>
        <v>0</v>
      </c>
      <c r="L11" s="176">
        <f aca="true" t="shared" si="3" ref="L11:L29">C11*I11</f>
        <v>0</v>
      </c>
    </row>
    <row r="12" spans="1:12" s="174" customFormat="1" ht="15.75">
      <c r="A12" s="342">
        <v>3</v>
      </c>
      <c r="B12" s="343" t="s">
        <v>122</v>
      </c>
      <c r="C12" s="347">
        <v>1947205000</v>
      </c>
      <c r="D12" s="345">
        <v>10900000000</v>
      </c>
      <c r="E12" s="346">
        <v>3744239603</v>
      </c>
      <c r="F12" s="340">
        <f aca="true" t="shared" si="4" ref="F12:F24">E12/D12*100</f>
        <v>34.35082204587156</v>
      </c>
      <c r="G12" s="341">
        <f t="shared" si="0"/>
        <v>192.28789998998565</v>
      </c>
      <c r="H12" s="176"/>
      <c r="I12" s="174">
        <v>1000</v>
      </c>
      <c r="J12" s="176">
        <f t="shared" si="1"/>
        <v>10900000000000</v>
      </c>
      <c r="K12" s="176">
        <f t="shared" si="2"/>
        <v>3744239603000</v>
      </c>
      <c r="L12" s="176">
        <f t="shared" si="3"/>
        <v>1947205000000</v>
      </c>
    </row>
    <row r="13" spans="1:12" s="174" customFormat="1" ht="15.75">
      <c r="A13" s="342">
        <v>4</v>
      </c>
      <c r="B13" s="343" t="s">
        <v>123</v>
      </c>
      <c r="C13" s="345">
        <v>452820000</v>
      </c>
      <c r="D13" s="348">
        <v>1600000000</v>
      </c>
      <c r="E13" s="346">
        <v>705812181</v>
      </c>
      <c r="F13" s="340">
        <f t="shared" si="4"/>
        <v>44.1132613125</v>
      </c>
      <c r="G13" s="341">
        <f t="shared" si="0"/>
        <v>155.8703637206837</v>
      </c>
      <c r="H13" s="176"/>
      <c r="I13" s="174">
        <v>1000</v>
      </c>
      <c r="J13" s="176">
        <f t="shared" si="1"/>
        <v>1600000000000</v>
      </c>
      <c r="K13" s="176">
        <f t="shared" si="2"/>
        <v>705812181000</v>
      </c>
      <c r="L13" s="176">
        <f t="shared" si="3"/>
        <v>452820000000</v>
      </c>
    </row>
    <row r="14" spans="1:12" s="174" customFormat="1" ht="15.75">
      <c r="A14" s="342">
        <v>5</v>
      </c>
      <c r="B14" s="343" t="s">
        <v>124</v>
      </c>
      <c r="C14" s="348">
        <v>0</v>
      </c>
      <c r="D14" s="348">
        <v>0</v>
      </c>
      <c r="E14" s="348"/>
      <c r="F14" s="340"/>
      <c r="G14" s="341"/>
      <c r="H14" s="176"/>
      <c r="I14" s="174">
        <v>1000</v>
      </c>
      <c r="J14" s="176">
        <f t="shared" si="1"/>
        <v>0</v>
      </c>
      <c r="K14" s="176">
        <f t="shared" si="2"/>
        <v>0</v>
      </c>
      <c r="L14" s="176">
        <f t="shared" si="3"/>
        <v>0</v>
      </c>
    </row>
    <row r="15" spans="1:12" s="174" customFormat="1" ht="15.75">
      <c r="A15" s="342">
        <v>6</v>
      </c>
      <c r="B15" s="343" t="s">
        <v>125</v>
      </c>
      <c r="C15" s="348">
        <v>1018552000</v>
      </c>
      <c r="D15" s="348">
        <v>5000000000</v>
      </c>
      <c r="E15" s="346">
        <v>1085482642</v>
      </c>
      <c r="F15" s="340">
        <f t="shared" si="4"/>
        <v>21.70965284</v>
      </c>
      <c r="G15" s="341">
        <f t="shared" si="0"/>
        <v>106.57115611181362</v>
      </c>
      <c r="H15" s="176"/>
      <c r="I15" s="174">
        <v>1000</v>
      </c>
      <c r="J15" s="176">
        <f t="shared" si="1"/>
        <v>5000000000000</v>
      </c>
      <c r="K15" s="176">
        <f t="shared" si="2"/>
        <v>1085482642000</v>
      </c>
      <c r="L15" s="176">
        <f t="shared" si="3"/>
        <v>1018552000000</v>
      </c>
    </row>
    <row r="16" spans="1:12" s="174" customFormat="1" ht="15.75">
      <c r="A16" s="342">
        <v>7</v>
      </c>
      <c r="B16" s="343" t="s">
        <v>126</v>
      </c>
      <c r="C16" s="348">
        <v>638749000</v>
      </c>
      <c r="D16" s="348">
        <v>2900000000</v>
      </c>
      <c r="E16" s="346">
        <v>893598146</v>
      </c>
      <c r="F16" s="340">
        <f t="shared" si="4"/>
        <v>30.813729172413794</v>
      </c>
      <c r="G16" s="341">
        <f t="shared" si="0"/>
        <v>139.89816751180823</v>
      </c>
      <c r="H16" s="176"/>
      <c r="I16" s="174">
        <v>1000</v>
      </c>
      <c r="J16" s="176">
        <f t="shared" si="1"/>
        <v>2900000000000</v>
      </c>
      <c r="K16" s="176">
        <f t="shared" si="2"/>
        <v>893598146000</v>
      </c>
      <c r="L16" s="176">
        <f t="shared" si="3"/>
        <v>638749000000</v>
      </c>
    </row>
    <row r="17" spans="1:12" s="174" customFormat="1" ht="15.75">
      <c r="A17" s="342">
        <v>8</v>
      </c>
      <c r="B17" s="343" t="s">
        <v>127</v>
      </c>
      <c r="C17" s="347">
        <v>0</v>
      </c>
      <c r="D17" s="348">
        <v>0</v>
      </c>
      <c r="E17" s="348"/>
      <c r="F17" s="340"/>
      <c r="G17" s="341"/>
      <c r="H17" s="176"/>
      <c r="I17" s="174">
        <v>1000</v>
      </c>
      <c r="J17" s="176">
        <f t="shared" si="1"/>
        <v>0</v>
      </c>
      <c r="K17" s="176">
        <f t="shared" si="2"/>
        <v>0</v>
      </c>
      <c r="L17" s="176">
        <f t="shared" si="3"/>
        <v>0</v>
      </c>
    </row>
    <row r="18" spans="1:12" s="174" customFormat="1" ht="15.75">
      <c r="A18" s="342"/>
      <c r="B18" s="349" t="s">
        <v>128</v>
      </c>
      <c r="C18" s="347">
        <v>39862000</v>
      </c>
      <c r="D18" s="350">
        <v>0</v>
      </c>
      <c r="E18" s="351"/>
      <c r="F18" s="340"/>
      <c r="G18" s="341">
        <f t="shared" si="0"/>
        <v>0</v>
      </c>
      <c r="H18" s="176"/>
      <c r="I18" s="174">
        <v>1000</v>
      </c>
      <c r="J18" s="176">
        <f t="shared" si="1"/>
        <v>0</v>
      </c>
      <c r="K18" s="176">
        <f t="shared" si="2"/>
        <v>0</v>
      </c>
      <c r="L18" s="176">
        <f t="shared" si="3"/>
        <v>39862000000</v>
      </c>
    </row>
    <row r="19" spans="1:12" s="174" customFormat="1" ht="15.75">
      <c r="A19" s="342"/>
      <c r="B19" s="349" t="s">
        <v>129</v>
      </c>
      <c r="C19" s="347">
        <v>1192000</v>
      </c>
      <c r="D19" s="350">
        <v>20000000</v>
      </c>
      <c r="E19" s="346">
        <v>2348318</v>
      </c>
      <c r="F19" s="340">
        <f t="shared" si="4"/>
        <v>11.74159</v>
      </c>
      <c r="G19" s="341">
        <f t="shared" si="0"/>
        <v>197.00654362416108</v>
      </c>
      <c r="H19" s="176"/>
      <c r="I19" s="174">
        <v>1000</v>
      </c>
      <c r="J19" s="176">
        <f t="shared" si="1"/>
        <v>20000000000</v>
      </c>
      <c r="K19" s="176">
        <f t="shared" si="2"/>
        <v>2348318000</v>
      </c>
      <c r="L19" s="176">
        <f t="shared" si="3"/>
        <v>1192000000</v>
      </c>
    </row>
    <row r="20" spans="1:12" s="174" customFormat="1" ht="15.75">
      <c r="A20" s="342"/>
      <c r="B20" s="349" t="s">
        <v>130</v>
      </c>
      <c r="C20" s="352">
        <v>0</v>
      </c>
      <c r="D20" s="350">
        <v>0</v>
      </c>
      <c r="E20" s="350"/>
      <c r="F20" s="340"/>
      <c r="G20" s="341"/>
      <c r="H20" s="176"/>
      <c r="I20" s="174">
        <v>1000</v>
      </c>
      <c r="J20" s="176">
        <f t="shared" si="1"/>
        <v>0</v>
      </c>
      <c r="K20" s="176">
        <f t="shared" si="2"/>
        <v>0</v>
      </c>
      <c r="L20" s="176">
        <f t="shared" si="3"/>
        <v>0</v>
      </c>
    </row>
    <row r="21" spans="1:12" s="174" customFormat="1" ht="15.75">
      <c r="A21" s="342"/>
      <c r="B21" s="349" t="s">
        <v>131</v>
      </c>
      <c r="C21" s="347">
        <v>2756391000</v>
      </c>
      <c r="D21" s="350">
        <v>36000000000</v>
      </c>
      <c r="E21" s="346">
        <v>1197571850</v>
      </c>
      <c r="F21" s="340">
        <f t="shared" si="4"/>
        <v>3.3265884722222223</v>
      </c>
      <c r="G21" s="341">
        <f t="shared" si="0"/>
        <v>43.44709622110942</v>
      </c>
      <c r="H21" s="176"/>
      <c r="I21" s="174">
        <v>1000</v>
      </c>
      <c r="J21" s="176">
        <f t="shared" si="1"/>
        <v>36000000000000</v>
      </c>
      <c r="K21" s="176">
        <f t="shared" si="2"/>
        <v>1197571850000</v>
      </c>
      <c r="L21" s="176">
        <f t="shared" si="3"/>
        <v>2756391000000</v>
      </c>
    </row>
    <row r="22" spans="1:12" s="174" customFormat="1" ht="25.5">
      <c r="A22" s="342"/>
      <c r="B22" s="349" t="s">
        <v>132</v>
      </c>
      <c r="C22" s="352">
        <v>0</v>
      </c>
      <c r="D22" s="350">
        <v>0</v>
      </c>
      <c r="E22" s="350"/>
      <c r="F22" s="340"/>
      <c r="G22" s="341"/>
      <c r="H22" s="176"/>
      <c r="I22" s="174">
        <v>1000</v>
      </c>
      <c r="J22" s="176">
        <f t="shared" si="1"/>
        <v>0</v>
      </c>
      <c r="K22" s="176">
        <f t="shared" si="2"/>
        <v>0</v>
      </c>
      <c r="L22" s="176">
        <f t="shared" si="3"/>
        <v>0</v>
      </c>
    </row>
    <row r="23" spans="1:12" s="174" customFormat="1" ht="12.75" customHeight="1">
      <c r="A23" s="342">
        <v>9</v>
      </c>
      <c r="B23" s="343" t="s">
        <v>133</v>
      </c>
      <c r="C23" s="348">
        <v>0</v>
      </c>
      <c r="D23" s="348">
        <v>0</v>
      </c>
      <c r="E23" s="348"/>
      <c r="F23" s="340"/>
      <c r="G23" s="341"/>
      <c r="H23" s="176"/>
      <c r="I23" s="174">
        <v>1000</v>
      </c>
      <c r="J23" s="176">
        <f t="shared" si="1"/>
        <v>0</v>
      </c>
      <c r="K23" s="176">
        <f t="shared" si="2"/>
        <v>0</v>
      </c>
      <c r="L23" s="176">
        <f t="shared" si="3"/>
        <v>0</v>
      </c>
    </row>
    <row r="24" spans="1:12" s="174" customFormat="1" ht="15.75">
      <c r="A24" s="342">
        <v>10</v>
      </c>
      <c r="B24" s="343" t="s">
        <v>134</v>
      </c>
      <c r="C24" s="348">
        <v>1275231000</v>
      </c>
      <c r="D24" s="348">
        <v>3800000000</v>
      </c>
      <c r="E24" s="346">
        <v>839690604</v>
      </c>
      <c r="F24" s="340">
        <f t="shared" si="4"/>
        <v>22.097121157894737</v>
      </c>
      <c r="G24" s="341">
        <f t="shared" si="0"/>
        <v>65.84615681394195</v>
      </c>
      <c r="H24" s="176"/>
      <c r="I24" s="174">
        <v>1000</v>
      </c>
      <c r="J24" s="176">
        <f t="shared" si="1"/>
        <v>3800000000000</v>
      </c>
      <c r="K24" s="176">
        <f t="shared" si="2"/>
        <v>839690604000</v>
      </c>
      <c r="L24" s="176">
        <f t="shared" si="3"/>
        <v>1275231000000</v>
      </c>
    </row>
    <row r="25" spans="1:12" s="174" customFormat="1" ht="25.5">
      <c r="A25" s="342">
        <v>11</v>
      </c>
      <c r="B25" s="343" t="s">
        <v>135</v>
      </c>
      <c r="C25" s="348">
        <v>0</v>
      </c>
      <c r="D25" s="348">
        <v>0</v>
      </c>
      <c r="E25" s="353"/>
      <c r="F25" s="340"/>
      <c r="G25" s="341"/>
      <c r="H25" s="176"/>
      <c r="I25" s="174">
        <v>1000</v>
      </c>
      <c r="J25" s="176">
        <f t="shared" si="1"/>
        <v>0</v>
      </c>
      <c r="K25" s="176">
        <f t="shared" si="2"/>
        <v>0</v>
      </c>
      <c r="L25" s="176">
        <f t="shared" si="3"/>
        <v>0</v>
      </c>
    </row>
    <row r="26" spans="1:12" s="174" customFormat="1" ht="15.75">
      <c r="A26" s="337" t="s">
        <v>5</v>
      </c>
      <c r="B26" s="338" t="s">
        <v>112</v>
      </c>
      <c r="C26" s="348">
        <v>0</v>
      </c>
      <c r="D26" s="348"/>
      <c r="E26" s="348"/>
      <c r="F26" s="340"/>
      <c r="G26" s="354"/>
      <c r="H26" s="176"/>
      <c r="I26" s="174">
        <v>1000</v>
      </c>
      <c r="J26" s="176">
        <f t="shared" si="1"/>
        <v>0</v>
      </c>
      <c r="K26" s="176">
        <f t="shared" si="2"/>
        <v>0</v>
      </c>
      <c r="L26" s="176">
        <f t="shared" si="3"/>
        <v>0</v>
      </c>
    </row>
    <row r="27" spans="1:12" s="174" customFormat="1" ht="25.5">
      <c r="A27" s="355" t="s">
        <v>8</v>
      </c>
      <c r="B27" s="356" t="s">
        <v>136</v>
      </c>
      <c r="C27" s="177">
        <f>SUM(C28:C29)</f>
        <v>20137854000</v>
      </c>
      <c r="D27" s="177">
        <f>SUM(D28:D29)</f>
        <v>51170000000</v>
      </c>
      <c r="E27" s="177">
        <f>SUM(E28:E29)</f>
        <v>7799405629</v>
      </c>
      <c r="F27" s="340">
        <f>E27/D27*100</f>
        <v>15.242145063513778</v>
      </c>
      <c r="G27" s="340">
        <f>E27/C27*100</f>
        <v>38.73007336829436</v>
      </c>
      <c r="I27" s="174">
        <v>1000</v>
      </c>
      <c r="J27" s="177">
        <f>SUM(J28:J29)</f>
        <v>51170000000000</v>
      </c>
      <c r="K27" s="177">
        <f>SUM(K28:K29)</f>
        <v>7799405629000</v>
      </c>
      <c r="L27" s="176">
        <f t="shared" si="3"/>
        <v>20137854000000</v>
      </c>
    </row>
    <row r="28" spans="1:12" s="174" customFormat="1" ht="15.75">
      <c r="A28" s="342">
        <v>1</v>
      </c>
      <c r="B28" s="343" t="s">
        <v>137</v>
      </c>
      <c r="C28" s="348">
        <v>14251439000</v>
      </c>
      <c r="D28" s="348">
        <v>27920000000</v>
      </c>
      <c r="E28" s="348">
        <v>1080162983</v>
      </c>
      <c r="F28" s="357">
        <f>E28/D28*100</f>
        <v>3.8687785924068767</v>
      </c>
      <c r="G28" s="354">
        <f>E28/C28*100</f>
        <v>7.579325729843843</v>
      </c>
      <c r="I28" s="174">
        <v>1000</v>
      </c>
      <c r="J28" s="176">
        <f t="shared" si="1"/>
        <v>27920000000000</v>
      </c>
      <c r="K28" s="176">
        <f t="shared" si="2"/>
        <v>1080162983000</v>
      </c>
      <c r="L28" s="176">
        <f t="shared" si="3"/>
        <v>14251439000000</v>
      </c>
    </row>
    <row r="29" spans="1:12" s="174" customFormat="1" ht="15.75">
      <c r="A29" s="358">
        <v>2</v>
      </c>
      <c r="B29" s="359" t="s">
        <v>138</v>
      </c>
      <c r="C29" s="360">
        <v>5886415000</v>
      </c>
      <c r="D29" s="360">
        <v>23250000000</v>
      </c>
      <c r="E29" s="360">
        <v>6719242646</v>
      </c>
      <c r="F29" s="361">
        <f>E29/D29*100</f>
        <v>28.899968369892477</v>
      </c>
      <c r="G29" s="362">
        <f>E29/C29*100</f>
        <v>114.14829987352233</v>
      </c>
      <c r="I29" s="174">
        <v>1000</v>
      </c>
      <c r="J29" s="176">
        <f t="shared" si="1"/>
        <v>23250000000000</v>
      </c>
      <c r="K29" s="176">
        <f t="shared" si="2"/>
        <v>6719242646000</v>
      </c>
      <c r="L29" s="176">
        <f t="shared" si="3"/>
        <v>5886415000000</v>
      </c>
    </row>
    <row r="32" spans="5:7" ht="15.75" customHeight="1">
      <c r="E32" s="377"/>
      <c r="F32" s="377"/>
      <c r="G32" s="377"/>
    </row>
    <row r="33" ht="15.75" customHeight="1">
      <c r="F33" s="172"/>
    </row>
    <row r="34" ht="15.75" customHeight="1">
      <c r="F34" s="172"/>
    </row>
    <row r="35" ht="15.75">
      <c r="F35" s="179"/>
    </row>
    <row r="36" spans="5:7" ht="15.75">
      <c r="E36" s="377"/>
      <c r="F36" s="377"/>
      <c r="G36" s="377"/>
    </row>
  </sheetData>
  <sheetProtection/>
  <mergeCells count="11">
    <mergeCell ref="F5:G5"/>
    <mergeCell ref="C5:C6"/>
    <mergeCell ref="E1:G1"/>
    <mergeCell ref="E32:G32"/>
    <mergeCell ref="E36:G36"/>
    <mergeCell ref="A2:G2"/>
    <mergeCell ref="A3:G3"/>
    <mergeCell ref="A5:A6"/>
    <mergeCell ref="B5:B6"/>
    <mergeCell ref="D5:D6"/>
    <mergeCell ref="E5:E6"/>
  </mergeCells>
  <printOptions/>
  <pageMargins left="0.590551181102362" right="0" top="0.748031496062992" bottom="0.748031496062992" header="0.31496062992126" footer="0.314960629921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A1" sqref="A1:F2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2.75390625" style="31" hidden="1" customWidth="1"/>
    <col min="5" max="5" width="11.50390625" style="63" customWidth="1"/>
    <col min="6" max="6" width="9.75390625" style="31" customWidth="1"/>
    <col min="7" max="7" width="14.75390625" style="31" hidden="1" customWidth="1"/>
    <col min="8" max="8" width="14.125" style="31" hidden="1" customWidth="1"/>
    <col min="9" max="9" width="0" style="31" hidden="1" customWidth="1"/>
    <col min="10" max="16384" width="9.00390625" style="31" customWidth="1"/>
  </cols>
  <sheetData>
    <row r="1" spans="1:6" ht="18.75" customHeight="1">
      <c r="A1" s="30" t="s">
        <v>56</v>
      </c>
      <c r="E1" s="385" t="s">
        <v>101</v>
      </c>
      <c r="F1" s="385"/>
    </row>
    <row r="2" spans="1:6" ht="41.25" customHeight="1">
      <c r="A2" s="386" t="s">
        <v>153</v>
      </c>
      <c r="B2" s="386"/>
      <c r="C2" s="386"/>
      <c r="D2" s="386"/>
      <c r="E2" s="386"/>
      <c r="F2" s="386"/>
    </row>
    <row r="3" spans="1:6" ht="20.25" customHeight="1">
      <c r="A3" s="401"/>
      <c r="B3" s="401"/>
      <c r="C3" s="401"/>
      <c r="D3" s="401"/>
      <c r="E3" s="401"/>
      <c r="F3" s="401"/>
    </row>
    <row r="4" spans="1:6" ht="19.5" customHeight="1">
      <c r="A4" s="387" t="s">
        <v>55</v>
      </c>
      <c r="B4" s="387"/>
      <c r="C4" s="387"/>
      <c r="D4" s="387"/>
      <c r="E4" s="387"/>
      <c r="F4" s="387"/>
    </row>
    <row r="5" spans="1:6" ht="17.25" customHeight="1">
      <c r="A5" s="388" t="s">
        <v>0</v>
      </c>
      <c r="B5" s="388" t="s">
        <v>6</v>
      </c>
      <c r="C5" s="389" t="s">
        <v>114</v>
      </c>
      <c r="D5" s="390"/>
      <c r="E5" s="398" t="s">
        <v>151</v>
      </c>
      <c r="F5" s="395" t="s">
        <v>113</v>
      </c>
    </row>
    <row r="6" spans="1:6" ht="29.25" customHeight="1">
      <c r="A6" s="388"/>
      <c r="B6" s="388"/>
      <c r="C6" s="391"/>
      <c r="D6" s="392"/>
      <c r="E6" s="399"/>
      <c r="F6" s="396"/>
    </row>
    <row r="7" spans="1:6" ht="37.5" customHeight="1">
      <c r="A7" s="388"/>
      <c r="B7" s="388"/>
      <c r="C7" s="393"/>
      <c r="D7" s="394"/>
      <c r="E7" s="400"/>
      <c r="F7" s="397"/>
    </row>
    <row r="8" spans="1:6" ht="15">
      <c r="A8" s="1" t="s">
        <v>7</v>
      </c>
      <c r="B8" s="1" t="s">
        <v>8</v>
      </c>
      <c r="C8" s="1">
        <v>1</v>
      </c>
      <c r="D8" s="1">
        <v>3</v>
      </c>
      <c r="E8" s="64">
        <v>5</v>
      </c>
      <c r="F8" s="1" t="s">
        <v>51</v>
      </c>
    </row>
    <row r="9" spans="1:8" ht="15">
      <c r="A9" s="2"/>
      <c r="B9" s="3" t="s">
        <v>9</v>
      </c>
      <c r="C9" s="12">
        <f>C10+C32</f>
        <v>337902000</v>
      </c>
      <c r="D9" s="12">
        <f>D10+D32</f>
        <v>337902000</v>
      </c>
      <c r="E9" s="67">
        <f>E10+E32</f>
        <v>216961000</v>
      </c>
      <c r="F9" s="14">
        <f>E9/C9*100</f>
        <v>64.2082615669632</v>
      </c>
      <c r="G9" s="32">
        <v>216961000</v>
      </c>
      <c r="H9" s="34">
        <f>G9-E9</f>
        <v>0</v>
      </c>
    </row>
    <row r="10" spans="1:6" ht="15">
      <c r="A10" s="4" t="s">
        <v>7</v>
      </c>
      <c r="B10" s="5" t="s">
        <v>10</v>
      </c>
      <c r="C10" s="13">
        <f>C11+C17+C31</f>
        <v>325268000</v>
      </c>
      <c r="D10" s="13">
        <f>D11+D17+D31</f>
        <v>325268000</v>
      </c>
      <c r="E10" s="71">
        <f>E11+E17+E31</f>
        <v>185152504</v>
      </c>
      <c r="F10" s="14">
        <f>E10/C10*100</f>
        <v>56.92306159843575</v>
      </c>
    </row>
    <row r="11" spans="1:8" ht="15">
      <c r="A11" s="4" t="s">
        <v>3</v>
      </c>
      <c r="B11" s="5" t="s">
        <v>11</v>
      </c>
      <c r="C11" s="13">
        <f>SUM(C12:C16)</f>
        <v>14771508</v>
      </c>
      <c r="D11" s="13">
        <f>SUM(D12:D16)</f>
        <v>14771508</v>
      </c>
      <c r="E11" s="71">
        <f>SUM(E12:E16)</f>
        <v>11665850</v>
      </c>
      <c r="F11" s="14">
        <f>E11/C11*100</f>
        <v>78.9753490300381</v>
      </c>
      <c r="G11" s="32">
        <f>11786-120</f>
        <v>11666</v>
      </c>
      <c r="H11" s="34">
        <f>G11-11480.85</f>
        <v>185.14999999999964</v>
      </c>
    </row>
    <row r="12" spans="1:7" ht="20.25" customHeight="1">
      <c r="A12" s="6">
        <v>1</v>
      </c>
      <c r="B12" s="7" t="s">
        <v>45</v>
      </c>
      <c r="C12" s="14">
        <f>SUM(D12:D12)</f>
        <v>7411000</v>
      </c>
      <c r="D12" s="14">
        <v>7411000</v>
      </c>
      <c r="E12" s="68">
        <f>Sheet1!G12+185000</f>
        <v>6154000</v>
      </c>
      <c r="F12" s="14">
        <f>E12/C12*100</f>
        <v>83.03872621778437</v>
      </c>
      <c r="G12" s="32"/>
    </row>
    <row r="13" spans="1:7" ht="15">
      <c r="A13" s="6">
        <v>2</v>
      </c>
      <c r="B13" s="7" t="s">
        <v>46</v>
      </c>
      <c r="C13" s="14">
        <f>SUM(D13:D13)</f>
        <v>1000000</v>
      </c>
      <c r="D13" s="14">
        <v>1000000</v>
      </c>
      <c r="E13" s="68">
        <f>Sheet1!G13</f>
        <v>110000</v>
      </c>
      <c r="F13" s="14">
        <f>E13/C13*100</f>
        <v>11</v>
      </c>
      <c r="G13" s="32"/>
    </row>
    <row r="14" spans="1:6" ht="15">
      <c r="A14" s="6">
        <v>3</v>
      </c>
      <c r="B14" s="7" t="s">
        <v>47</v>
      </c>
      <c r="C14" s="14">
        <f>SUM(D14:D14)</f>
        <v>253000</v>
      </c>
      <c r="D14" s="14">
        <v>253000</v>
      </c>
      <c r="E14" s="68">
        <f>Sheet1!G14</f>
        <v>0</v>
      </c>
      <c r="F14" s="14"/>
    </row>
    <row r="15" spans="1:7" ht="15">
      <c r="A15" s="6">
        <v>4</v>
      </c>
      <c r="B15" s="7" t="s">
        <v>57</v>
      </c>
      <c r="C15" s="14">
        <f>SUM(D15:D15)</f>
        <v>6107508</v>
      </c>
      <c r="D15" s="14">
        <v>6107508</v>
      </c>
      <c r="E15" s="68">
        <f>Sheet1!G15</f>
        <v>4209850</v>
      </c>
      <c r="F15" s="14">
        <f>E15/C15*100</f>
        <v>68.92909513994906</v>
      </c>
      <c r="G15" s="34"/>
    </row>
    <row r="16" spans="1:6" ht="15">
      <c r="A16" s="6">
        <v>5</v>
      </c>
      <c r="B16" s="7" t="s">
        <v>85</v>
      </c>
      <c r="C16" s="14">
        <f>SUM(D16:D16)</f>
        <v>0</v>
      </c>
      <c r="D16" s="14"/>
      <c r="E16" s="68">
        <f>Sheet1!G16</f>
        <v>1192000</v>
      </c>
      <c r="F16" s="14"/>
    </row>
    <row r="17" spans="1:6" ht="15">
      <c r="A17" s="4" t="s">
        <v>5</v>
      </c>
      <c r="B17" s="5" t="s">
        <v>4</v>
      </c>
      <c r="C17" s="13">
        <f>SUM(C18:C30)</f>
        <v>303863252</v>
      </c>
      <c r="D17" s="13">
        <f>SUM(D18:D30)</f>
        <v>303863252</v>
      </c>
      <c r="E17" s="71">
        <f>SUM(E18:E30)</f>
        <v>172435133</v>
      </c>
      <c r="F17" s="13"/>
    </row>
    <row r="18" spans="1:6" ht="15">
      <c r="A18" s="6">
        <v>1</v>
      </c>
      <c r="B18" s="8" t="s">
        <v>12</v>
      </c>
      <c r="C18" s="14">
        <f aca="true" t="shared" si="0" ref="C18:C31">SUM(D18:D18)</f>
        <v>13196000</v>
      </c>
      <c r="D18" s="15">
        <v>13196000</v>
      </c>
      <c r="E18" s="79">
        <f>Sheet1!G18</f>
        <v>1255913</v>
      </c>
      <c r="F18" s="14">
        <f>E18/C18*100</f>
        <v>9.517376477720521</v>
      </c>
    </row>
    <row r="19" spans="1:6" ht="15">
      <c r="A19" s="6">
        <v>2</v>
      </c>
      <c r="B19" s="8" t="s">
        <v>13</v>
      </c>
      <c r="C19" s="14">
        <f t="shared" si="0"/>
        <v>170992000</v>
      </c>
      <c r="D19" s="15">
        <v>170992000</v>
      </c>
      <c r="E19" s="79">
        <f>Sheet1!G19</f>
        <v>98086463</v>
      </c>
      <c r="F19" s="14">
        <f>E19/C19*100</f>
        <v>57.36318833629643</v>
      </c>
    </row>
    <row r="20" spans="1:6" ht="15">
      <c r="A20" s="6">
        <v>3</v>
      </c>
      <c r="B20" s="8" t="s">
        <v>14</v>
      </c>
      <c r="C20" s="14">
        <f t="shared" si="0"/>
        <v>0</v>
      </c>
      <c r="D20" s="15"/>
      <c r="E20" s="79">
        <f>Sheet1!G20</f>
        <v>0</v>
      </c>
      <c r="F20" s="14"/>
    </row>
    <row r="21" spans="1:6" ht="15">
      <c r="A21" s="6">
        <v>4</v>
      </c>
      <c r="B21" s="8" t="s">
        <v>15</v>
      </c>
      <c r="C21" s="14">
        <f t="shared" si="0"/>
        <v>0</v>
      </c>
      <c r="D21" s="15"/>
      <c r="E21" s="79">
        <f>Sheet1!G21</f>
        <v>0</v>
      </c>
      <c r="F21" s="14"/>
    </row>
    <row r="22" spans="1:6" ht="15">
      <c r="A22" s="6">
        <v>5</v>
      </c>
      <c r="B22" s="8" t="s">
        <v>16</v>
      </c>
      <c r="C22" s="14">
        <f t="shared" si="0"/>
        <v>400000</v>
      </c>
      <c r="D22" s="15">
        <v>400000</v>
      </c>
      <c r="E22" s="79">
        <f>Sheet1!G22</f>
        <v>0</v>
      </c>
      <c r="F22" s="14">
        <f aca="true" t="shared" si="1" ref="F22:F32">E22/C22*100</f>
        <v>0</v>
      </c>
    </row>
    <row r="23" spans="1:6" ht="15">
      <c r="A23" s="6">
        <v>6</v>
      </c>
      <c r="B23" s="8" t="s">
        <v>17</v>
      </c>
      <c r="C23" s="14">
        <f t="shared" si="0"/>
        <v>1098156</v>
      </c>
      <c r="D23" s="15">
        <v>1098156</v>
      </c>
      <c r="E23" s="79">
        <f>Sheet1!G23</f>
        <v>681948</v>
      </c>
      <c r="F23" s="14">
        <f t="shared" si="1"/>
        <v>62.09937385945167</v>
      </c>
    </row>
    <row r="24" spans="1:6" ht="15">
      <c r="A24" s="6">
        <v>7</v>
      </c>
      <c r="B24" s="8" t="s">
        <v>18</v>
      </c>
      <c r="C24" s="14">
        <f t="shared" si="0"/>
        <v>237371</v>
      </c>
      <c r="D24" s="15">
        <v>237371</v>
      </c>
      <c r="E24" s="79">
        <f>Sheet1!G24</f>
        <v>179905</v>
      </c>
      <c r="F24" s="14">
        <f t="shared" si="1"/>
        <v>75.79063996865666</v>
      </c>
    </row>
    <row r="25" spans="1:6" ht="15">
      <c r="A25" s="6">
        <v>8</v>
      </c>
      <c r="B25" s="8" t="s">
        <v>19</v>
      </c>
      <c r="C25" s="14">
        <f t="shared" si="0"/>
        <v>1483342</v>
      </c>
      <c r="D25" s="15">
        <v>1483342</v>
      </c>
      <c r="E25" s="79">
        <f>Sheet1!G25</f>
        <v>763029</v>
      </c>
      <c r="F25" s="14">
        <f t="shared" si="1"/>
        <v>51.43985675589311</v>
      </c>
    </row>
    <row r="26" spans="1:6" ht="15">
      <c r="A26" s="6">
        <v>9</v>
      </c>
      <c r="B26" s="8" t="s">
        <v>20</v>
      </c>
      <c r="C26" s="14">
        <f t="shared" si="0"/>
        <v>8556000</v>
      </c>
      <c r="D26" s="15">
        <v>8556000</v>
      </c>
      <c r="E26" s="79">
        <f>Sheet1!G26</f>
        <v>7176029</v>
      </c>
      <c r="F26" s="14">
        <f t="shared" si="1"/>
        <v>83.871306685367</v>
      </c>
    </row>
    <row r="27" spans="1:6" ht="15">
      <c r="A27" s="6">
        <v>10</v>
      </c>
      <c r="B27" s="8" t="s">
        <v>21</v>
      </c>
      <c r="C27" s="14">
        <f t="shared" si="0"/>
        <v>89282862</v>
      </c>
      <c r="D27" s="15">
        <v>89282862</v>
      </c>
      <c r="E27" s="79">
        <f>Sheet1!G27+2816439</f>
        <v>54045210</v>
      </c>
      <c r="F27" s="14">
        <f t="shared" si="1"/>
        <v>60.53256894923462</v>
      </c>
    </row>
    <row r="28" spans="1:6" ht="15">
      <c r="A28" s="6">
        <v>11</v>
      </c>
      <c r="B28" s="9" t="s">
        <v>22</v>
      </c>
      <c r="C28" s="14">
        <f t="shared" si="0"/>
        <v>3216521</v>
      </c>
      <c r="D28" s="15">
        <v>3216521</v>
      </c>
      <c r="E28" s="79">
        <f>Sheet1!G28</f>
        <v>3602531</v>
      </c>
      <c r="F28" s="14">
        <f t="shared" si="1"/>
        <v>112.00085433920685</v>
      </c>
    </row>
    <row r="29" spans="1:6" ht="15">
      <c r="A29" s="6">
        <v>12</v>
      </c>
      <c r="B29" s="10" t="s">
        <v>23</v>
      </c>
      <c r="C29" s="14">
        <f t="shared" si="0"/>
        <v>6654000</v>
      </c>
      <c r="D29" s="15">
        <v>6654000</v>
      </c>
      <c r="E29" s="79">
        <f>Sheet1!G29</f>
        <v>6644105</v>
      </c>
      <c r="F29" s="14">
        <f t="shared" si="1"/>
        <v>99.85129245566576</v>
      </c>
    </row>
    <row r="30" spans="1:6" ht="15">
      <c r="A30" s="6">
        <v>13</v>
      </c>
      <c r="B30" s="10" t="s">
        <v>91</v>
      </c>
      <c r="C30" s="14">
        <f t="shared" si="0"/>
        <v>8747000</v>
      </c>
      <c r="D30" s="15">
        <v>8747000</v>
      </c>
      <c r="E30" s="79">
        <f>Sheet1!G30</f>
        <v>0</v>
      </c>
      <c r="F30" s="14">
        <f t="shared" si="1"/>
        <v>0</v>
      </c>
    </row>
    <row r="31" spans="1:6" ht="24.75" customHeight="1">
      <c r="A31" s="4" t="s">
        <v>24</v>
      </c>
      <c r="B31" s="5" t="s">
        <v>25</v>
      </c>
      <c r="C31" s="13">
        <f t="shared" si="0"/>
        <v>6633240</v>
      </c>
      <c r="D31" s="17">
        <f>7020000-386760</f>
        <v>6633240</v>
      </c>
      <c r="E31" s="84">
        <f>Sheet1!G31</f>
        <v>1051521</v>
      </c>
      <c r="F31" s="14">
        <f t="shared" si="1"/>
        <v>15.852298424299438</v>
      </c>
    </row>
    <row r="32" spans="1:6" ht="25.5">
      <c r="A32" s="4" t="s">
        <v>8</v>
      </c>
      <c r="B32" s="5" t="s">
        <v>48</v>
      </c>
      <c r="C32" s="17">
        <f>C33+C58</f>
        <v>12634000</v>
      </c>
      <c r="D32" s="17">
        <f>D33+D58</f>
        <v>12634000</v>
      </c>
      <c r="E32" s="84">
        <f>E33+E58</f>
        <v>31808496</v>
      </c>
      <c r="F32" s="14">
        <f t="shared" si="1"/>
        <v>251.7690042741808</v>
      </c>
    </row>
    <row r="33" spans="1:6" ht="21.75" customHeight="1">
      <c r="A33" s="4">
        <v>1</v>
      </c>
      <c r="B33" s="5" t="s">
        <v>26</v>
      </c>
      <c r="C33" s="17">
        <f>C34+C51</f>
        <v>0</v>
      </c>
      <c r="D33" s="17">
        <f>D34+D51</f>
        <v>0</v>
      </c>
      <c r="E33" s="84">
        <f>E34+E51</f>
        <v>16705596</v>
      </c>
      <c r="F33" s="17"/>
    </row>
    <row r="34" spans="1:6" ht="21" customHeight="1">
      <c r="A34" s="6" t="s">
        <v>27</v>
      </c>
      <c r="B34" s="7" t="s">
        <v>53</v>
      </c>
      <c r="C34" s="18">
        <f>C35+C38</f>
        <v>0</v>
      </c>
      <c r="D34" s="18">
        <f>D35+D38</f>
        <v>0</v>
      </c>
      <c r="E34" s="81">
        <f>E35+E38</f>
        <v>14721422</v>
      </c>
      <c r="F34" s="16"/>
    </row>
    <row r="35" spans="1:6" ht="22.5" customHeight="1">
      <c r="A35" s="6" t="s">
        <v>43</v>
      </c>
      <c r="B35" s="7" t="s">
        <v>28</v>
      </c>
      <c r="C35" s="18">
        <f>SUM(C36:C37)</f>
        <v>0</v>
      </c>
      <c r="D35" s="18">
        <f>SUM(D36:D37)</f>
        <v>0</v>
      </c>
      <c r="E35" s="81">
        <f>SUM(E36:E37)</f>
        <v>14047748</v>
      </c>
      <c r="F35" s="14"/>
    </row>
    <row r="36" spans="1:6" ht="22.5" customHeight="1">
      <c r="A36" s="6" t="s">
        <v>71</v>
      </c>
      <c r="B36" s="7" t="s">
        <v>69</v>
      </c>
      <c r="C36" s="14">
        <f>SUM(D36:D36)</f>
        <v>0</v>
      </c>
      <c r="D36" s="18"/>
      <c r="E36" s="81">
        <f>Sheet1!G36</f>
        <v>4353854</v>
      </c>
      <c r="F36" s="14"/>
    </row>
    <row r="37" spans="1:6" ht="22.5" customHeight="1">
      <c r="A37" s="6" t="s">
        <v>71</v>
      </c>
      <c r="B37" s="7" t="s">
        <v>70</v>
      </c>
      <c r="C37" s="14">
        <f>SUM(D37:D37)</f>
        <v>0</v>
      </c>
      <c r="D37" s="18"/>
      <c r="E37" s="81">
        <f>Sheet1!G37</f>
        <v>9693894</v>
      </c>
      <c r="F37" s="14"/>
    </row>
    <row r="38" spans="1:6" ht="28.5" customHeight="1">
      <c r="A38" s="6" t="s">
        <v>43</v>
      </c>
      <c r="B38" s="7" t="s">
        <v>44</v>
      </c>
      <c r="C38" s="18">
        <f>C39+C44+C45+C46</f>
        <v>0</v>
      </c>
      <c r="D38" s="18">
        <f>D39+D44+D45+D46</f>
        <v>0</v>
      </c>
      <c r="E38" s="81">
        <f>E39+E44+E45+E46</f>
        <v>673674</v>
      </c>
      <c r="F38" s="14"/>
    </row>
    <row r="39" spans="1:6" ht="23.25" customHeight="1">
      <c r="A39" s="6" t="s">
        <v>32</v>
      </c>
      <c r="B39" s="37" t="s">
        <v>72</v>
      </c>
      <c r="C39" s="18">
        <f>C40+C43</f>
        <v>0</v>
      </c>
      <c r="D39" s="18">
        <f>D40+D43</f>
        <v>0</v>
      </c>
      <c r="E39" s="81">
        <f>E40+E43</f>
        <v>489720</v>
      </c>
      <c r="F39" s="14"/>
    </row>
    <row r="40" spans="1:6" ht="38.25" customHeight="1">
      <c r="A40" s="6" t="s">
        <v>71</v>
      </c>
      <c r="B40" s="38" t="s">
        <v>73</v>
      </c>
      <c r="C40" s="18">
        <f>SUM(C41:C42)</f>
        <v>0</v>
      </c>
      <c r="D40" s="18"/>
      <c r="E40" s="81">
        <f>Sheet1!G40</f>
        <v>489720</v>
      </c>
      <c r="F40" s="14"/>
    </row>
    <row r="41" spans="1:6" ht="22.5" customHeight="1">
      <c r="A41" s="6"/>
      <c r="B41" s="39" t="s">
        <v>74</v>
      </c>
      <c r="C41" s="14">
        <f>SUM(D41:D41)</f>
        <v>0</v>
      </c>
      <c r="D41" s="23"/>
      <c r="E41" s="81">
        <f>Sheet1!G41</f>
        <v>489720</v>
      </c>
      <c r="F41" s="14"/>
    </row>
    <row r="42" spans="1:6" ht="22.5" customHeight="1">
      <c r="A42" s="6"/>
      <c r="B42" s="39" t="s">
        <v>75</v>
      </c>
      <c r="C42" s="14">
        <f>SUM(D42:D42)</f>
        <v>0</v>
      </c>
      <c r="D42" s="23"/>
      <c r="E42" s="89">
        <v>0</v>
      </c>
      <c r="F42" s="14"/>
    </row>
    <row r="43" spans="1:6" ht="32.25" customHeight="1">
      <c r="A43" s="6" t="s">
        <v>71</v>
      </c>
      <c r="B43" s="40" t="s">
        <v>86</v>
      </c>
      <c r="C43" s="14">
        <f>SUM(D43:D43)</f>
        <v>0</v>
      </c>
      <c r="D43" s="18"/>
      <c r="E43" s="81">
        <v>0</v>
      </c>
      <c r="F43" s="14"/>
    </row>
    <row r="44" spans="1:6" ht="27.75" customHeight="1">
      <c r="A44" s="6" t="s">
        <v>32</v>
      </c>
      <c r="B44" s="37" t="s">
        <v>76</v>
      </c>
      <c r="C44" s="14">
        <f>SUM(D44:D44)</f>
        <v>0</v>
      </c>
      <c r="D44" s="18"/>
      <c r="E44" s="81">
        <v>0</v>
      </c>
      <c r="F44" s="14"/>
    </row>
    <row r="45" spans="1:6" ht="22.5" customHeight="1">
      <c r="A45" s="6" t="s">
        <v>32</v>
      </c>
      <c r="B45" s="40" t="s">
        <v>77</v>
      </c>
      <c r="C45" s="18">
        <f>SUM(D45:D45)</f>
        <v>0</v>
      </c>
      <c r="D45" s="18"/>
      <c r="E45" s="81">
        <v>0</v>
      </c>
      <c r="F45" s="14"/>
    </row>
    <row r="46" spans="1:6" ht="23.25" customHeight="1">
      <c r="A46" s="6" t="s">
        <v>32</v>
      </c>
      <c r="B46" s="37" t="s">
        <v>78</v>
      </c>
      <c r="C46" s="18">
        <f>C47+C48</f>
        <v>0</v>
      </c>
      <c r="D46" s="18">
        <f>D47+D48</f>
        <v>0</v>
      </c>
      <c r="E46" s="81">
        <f>E47+E48</f>
        <v>183954</v>
      </c>
      <c r="F46" s="14"/>
    </row>
    <row r="47" spans="1:6" ht="25.5" customHeight="1">
      <c r="A47" s="6" t="s">
        <v>71</v>
      </c>
      <c r="B47" s="37" t="s">
        <v>79</v>
      </c>
      <c r="C47" s="18">
        <f>SUM(D47:D47)</f>
        <v>0</v>
      </c>
      <c r="D47" s="18"/>
      <c r="E47" s="81">
        <f>Sheet1!G47</f>
        <v>183954</v>
      </c>
      <c r="F47" s="14"/>
    </row>
    <row r="48" spans="1:6" ht="26.25">
      <c r="A48" s="6" t="s">
        <v>71</v>
      </c>
      <c r="B48" s="40" t="s">
        <v>87</v>
      </c>
      <c r="C48" s="18">
        <f>SUM(C49:C50)</f>
        <v>0</v>
      </c>
      <c r="D48" s="18">
        <f>SUM(D49:D50)</f>
        <v>0</v>
      </c>
      <c r="E48" s="81">
        <f>SUM(E49:E50)</f>
        <v>0</v>
      </c>
      <c r="F48" s="14"/>
    </row>
    <row r="49" spans="1:6" ht="15">
      <c r="A49" s="24"/>
      <c r="B49" s="41" t="s">
        <v>74</v>
      </c>
      <c r="C49" s="18">
        <f>SUM(D49:D49)</f>
        <v>0</v>
      </c>
      <c r="D49" s="23"/>
      <c r="E49" s="89">
        <v>0</v>
      </c>
      <c r="F49" s="14"/>
    </row>
    <row r="50" spans="1:6" ht="15">
      <c r="A50" s="24"/>
      <c r="B50" s="41" t="s">
        <v>75</v>
      </c>
      <c r="C50" s="18">
        <f>SUM(D50:D50)</f>
        <v>0</v>
      </c>
      <c r="D50" s="23"/>
      <c r="E50" s="89">
        <v>0</v>
      </c>
      <c r="F50" s="14"/>
    </row>
    <row r="51" spans="1:6" ht="27.75" customHeight="1">
      <c r="A51" s="6" t="s">
        <v>30</v>
      </c>
      <c r="B51" s="7" t="s">
        <v>54</v>
      </c>
      <c r="C51" s="18">
        <f>C52+C53</f>
        <v>0</v>
      </c>
      <c r="D51" s="18">
        <f>D52+D53</f>
        <v>0</v>
      </c>
      <c r="E51" s="81">
        <f>E52+E53</f>
        <v>1984174</v>
      </c>
      <c r="F51" s="14"/>
    </row>
    <row r="52" spans="1:6" ht="26.25" customHeight="1">
      <c r="A52" s="6" t="s">
        <v>43</v>
      </c>
      <c r="B52" s="7" t="s">
        <v>28</v>
      </c>
      <c r="C52" s="14">
        <f>SUM(D52:D52)</f>
        <v>0</v>
      </c>
      <c r="D52" s="18"/>
      <c r="E52" s="81">
        <f>Sheet1!G52</f>
        <v>1949174</v>
      </c>
      <c r="F52" s="14"/>
    </row>
    <row r="53" spans="1:6" ht="26.25" customHeight="1">
      <c r="A53" s="6" t="s">
        <v>43</v>
      </c>
      <c r="B53" s="7" t="s">
        <v>44</v>
      </c>
      <c r="C53" s="18">
        <f>SUM(C54:C57)</f>
        <v>0</v>
      </c>
      <c r="D53" s="18">
        <f>SUM(D54:D57)</f>
        <v>0</v>
      </c>
      <c r="E53" s="81">
        <f>SUM(E54:E57)</f>
        <v>35000</v>
      </c>
      <c r="F53" s="14"/>
    </row>
    <row r="54" spans="1:6" ht="23.25" customHeight="1">
      <c r="A54" s="6" t="s">
        <v>71</v>
      </c>
      <c r="B54" s="37" t="s">
        <v>80</v>
      </c>
      <c r="C54" s="18">
        <f>SUM(D54:D54)</f>
        <v>0</v>
      </c>
      <c r="D54" s="18"/>
      <c r="E54" s="81">
        <v>0</v>
      </c>
      <c r="F54" s="14"/>
    </row>
    <row r="55" spans="1:6" ht="24.75" customHeight="1">
      <c r="A55" s="6" t="s">
        <v>71</v>
      </c>
      <c r="B55" s="37" t="s">
        <v>81</v>
      </c>
      <c r="C55" s="18">
        <f>SUM(D55:D55)</f>
        <v>0</v>
      </c>
      <c r="D55" s="18"/>
      <c r="E55" s="81">
        <f>Sheet1!G55</f>
        <v>35000</v>
      </c>
      <c r="F55" s="14"/>
    </row>
    <row r="56" spans="1:6" ht="25.5" customHeight="1">
      <c r="A56" s="6" t="s">
        <v>71</v>
      </c>
      <c r="B56" s="7" t="s">
        <v>82</v>
      </c>
      <c r="C56" s="18">
        <f>SUM(D56:D56)</f>
        <v>0</v>
      </c>
      <c r="D56" s="18"/>
      <c r="E56" s="81">
        <v>0</v>
      </c>
      <c r="F56" s="14"/>
    </row>
    <row r="57" spans="1:6" ht="24.75" customHeight="1">
      <c r="A57" s="6" t="s">
        <v>71</v>
      </c>
      <c r="B57" s="7" t="s">
        <v>83</v>
      </c>
      <c r="C57" s="18">
        <f>SUM(D57:D57)</f>
        <v>0</v>
      </c>
      <c r="D57" s="18"/>
      <c r="E57" s="81">
        <v>0</v>
      </c>
      <c r="F57" s="14"/>
    </row>
    <row r="58" spans="1:6" ht="29.25" customHeight="1">
      <c r="A58" s="4">
        <v>2</v>
      </c>
      <c r="B58" s="5" t="s">
        <v>31</v>
      </c>
      <c r="C58" s="17">
        <f>C59+C62</f>
        <v>12634000</v>
      </c>
      <c r="D58" s="17">
        <f>D59+D62</f>
        <v>12634000</v>
      </c>
      <c r="E58" s="84">
        <f>E59+E62</f>
        <v>15102900</v>
      </c>
      <c r="F58" s="14">
        <f>E58/C58*100</f>
        <v>119.54171283837265</v>
      </c>
    </row>
    <row r="59" spans="1:6" ht="21" customHeight="1">
      <c r="A59" s="95" t="s">
        <v>89</v>
      </c>
      <c r="B59" s="74" t="s">
        <v>28</v>
      </c>
      <c r="C59" s="18">
        <f>SUM(C60:C61)</f>
        <v>0</v>
      </c>
      <c r="D59" s="18">
        <f>SUM(D60:D61)</f>
        <v>0</v>
      </c>
      <c r="E59" s="81">
        <f>Sheet1!G59</f>
        <v>120000</v>
      </c>
      <c r="F59" s="14"/>
    </row>
    <row r="60" spans="1:6" ht="21" customHeight="1">
      <c r="A60" s="95" t="s">
        <v>32</v>
      </c>
      <c r="B60" s="74" t="s">
        <v>88</v>
      </c>
      <c r="C60" s="14">
        <f>SUM(D60:D60)</f>
        <v>0</v>
      </c>
      <c r="D60" s="18"/>
      <c r="E60" s="81">
        <f>Sheet1!G60</f>
        <v>120000</v>
      </c>
      <c r="F60" s="14"/>
    </row>
    <row r="61" spans="1:6" ht="21" customHeight="1">
      <c r="A61" s="95" t="s">
        <v>32</v>
      </c>
      <c r="B61" s="97" t="s">
        <v>84</v>
      </c>
      <c r="C61" s="25">
        <f>SUM(D61:D61)</f>
        <v>0</v>
      </c>
      <c r="D61" s="18"/>
      <c r="E61" s="81" t="str">
        <f>Sheet1!G61</f>
        <v>-</v>
      </c>
      <c r="F61" s="14"/>
    </row>
    <row r="62" spans="1:6" ht="21" customHeight="1">
      <c r="A62" s="95" t="s">
        <v>90</v>
      </c>
      <c r="B62" s="74" t="s">
        <v>29</v>
      </c>
      <c r="C62" s="18">
        <f>SUM(C63:C82)</f>
        <v>12634000</v>
      </c>
      <c r="D62" s="18">
        <f>SUM(D63:D82)</f>
        <v>12634000</v>
      </c>
      <c r="E62" s="81">
        <f>SUM(E63:E91)</f>
        <v>14982900</v>
      </c>
      <c r="F62" s="14">
        <f aca="true" t="shared" si="2" ref="F62:F82">E62/C62*100</f>
        <v>118.59189488681336</v>
      </c>
    </row>
    <row r="63" spans="1:6" ht="32.25" customHeight="1">
      <c r="A63" s="95" t="s">
        <v>32</v>
      </c>
      <c r="B63" s="99" t="s">
        <v>33</v>
      </c>
      <c r="C63" s="14">
        <f>Sheet1!E63</f>
        <v>2235000</v>
      </c>
      <c r="D63" s="18">
        <v>2235000</v>
      </c>
      <c r="E63" s="81">
        <f>Sheet1!G63</f>
        <v>917672</v>
      </c>
      <c r="F63" s="14">
        <f t="shared" si="2"/>
        <v>41.059149888143175</v>
      </c>
    </row>
    <row r="64" spans="1:6" ht="31.5" customHeight="1">
      <c r="A64" s="95" t="s">
        <v>32</v>
      </c>
      <c r="B64" s="99" t="s">
        <v>34</v>
      </c>
      <c r="C64" s="14">
        <f>Sheet1!E64</f>
        <v>145000</v>
      </c>
      <c r="D64" s="18">
        <v>145000</v>
      </c>
      <c r="E64" s="81">
        <f>Sheet1!G64</f>
        <v>76100</v>
      </c>
      <c r="F64" s="14">
        <f t="shared" si="2"/>
        <v>52.48275862068965</v>
      </c>
    </row>
    <row r="65" spans="1:6" ht="48.75" customHeight="1">
      <c r="A65" s="95" t="s">
        <v>32</v>
      </c>
      <c r="B65" s="99" t="s">
        <v>35</v>
      </c>
      <c r="C65" s="14">
        <f>Sheet1!E65</f>
        <v>3804000</v>
      </c>
      <c r="D65" s="18">
        <v>3804000</v>
      </c>
      <c r="E65" s="81">
        <f>Sheet1!G65</f>
        <v>1605400</v>
      </c>
      <c r="F65" s="14">
        <f t="shared" si="2"/>
        <v>42.202944269190326</v>
      </c>
    </row>
    <row r="66" spans="1:6" ht="35.25" customHeight="1">
      <c r="A66" s="95" t="s">
        <v>32</v>
      </c>
      <c r="B66" s="99" t="s">
        <v>36</v>
      </c>
      <c r="C66" s="14">
        <f>Sheet1!E66</f>
        <v>913000</v>
      </c>
      <c r="D66" s="18">
        <v>913000</v>
      </c>
      <c r="E66" s="81">
        <f>Sheet1!G66</f>
        <v>0</v>
      </c>
      <c r="F66" s="14">
        <f t="shared" si="2"/>
        <v>0</v>
      </c>
    </row>
    <row r="67" spans="1:6" ht="27" customHeight="1">
      <c r="A67" s="95" t="s">
        <v>32</v>
      </c>
      <c r="B67" s="99" t="s">
        <v>37</v>
      </c>
      <c r="C67" s="14">
        <f>Sheet1!E67</f>
        <v>7000</v>
      </c>
      <c r="D67" s="18">
        <v>7000</v>
      </c>
      <c r="E67" s="81">
        <f>Sheet1!G67</f>
        <v>0</v>
      </c>
      <c r="F67" s="14">
        <f t="shared" si="2"/>
        <v>0</v>
      </c>
    </row>
    <row r="68" spans="1:6" ht="29.25" customHeight="1">
      <c r="A68" s="95" t="s">
        <v>32</v>
      </c>
      <c r="B68" s="99" t="s">
        <v>38</v>
      </c>
      <c r="C68" s="14">
        <f>Sheet1!E68</f>
        <v>505000</v>
      </c>
      <c r="D68" s="18">
        <v>505000</v>
      </c>
      <c r="E68" s="81">
        <f>Sheet1!G68</f>
        <v>313558</v>
      </c>
      <c r="F68" s="14">
        <f t="shared" si="2"/>
        <v>62.09069306930694</v>
      </c>
    </row>
    <row r="69" spans="1:6" ht="29.25" customHeight="1">
      <c r="A69" s="95" t="s">
        <v>32</v>
      </c>
      <c r="B69" s="99" t="s">
        <v>58</v>
      </c>
      <c r="C69" s="14">
        <f>Sheet1!E69</f>
        <v>202000</v>
      </c>
      <c r="D69" s="18">
        <v>202000</v>
      </c>
      <c r="E69" s="81">
        <f>Sheet1!G69</f>
        <v>202000</v>
      </c>
      <c r="F69" s="14">
        <f t="shared" si="2"/>
        <v>100</v>
      </c>
    </row>
    <row r="70" spans="1:6" ht="21" customHeight="1">
      <c r="A70" s="95" t="s">
        <v>32</v>
      </c>
      <c r="B70" s="99" t="s">
        <v>39</v>
      </c>
      <c r="C70" s="14">
        <f>Sheet1!E70</f>
        <v>1951000</v>
      </c>
      <c r="D70" s="18">
        <v>1951000</v>
      </c>
      <c r="E70" s="81">
        <f>Sheet1!G70</f>
        <v>542025</v>
      </c>
      <c r="F70" s="14">
        <f t="shared" si="2"/>
        <v>27.781906714505382</v>
      </c>
    </row>
    <row r="71" spans="1:6" ht="35.25" customHeight="1">
      <c r="A71" s="95" t="s">
        <v>32</v>
      </c>
      <c r="B71" s="99" t="s">
        <v>59</v>
      </c>
      <c r="C71" s="14">
        <f>Sheet1!E71</f>
        <v>22000</v>
      </c>
      <c r="D71" s="18">
        <v>22000</v>
      </c>
      <c r="E71" s="81">
        <f>Sheet1!G71</f>
        <v>0</v>
      </c>
      <c r="F71" s="14">
        <f t="shared" si="2"/>
        <v>0</v>
      </c>
    </row>
    <row r="72" spans="1:6" ht="24.75" customHeight="1">
      <c r="A72" s="95" t="s">
        <v>32</v>
      </c>
      <c r="B72" s="99" t="s">
        <v>40</v>
      </c>
      <c r="C72" s="14">
        <f>Sheet1!E72</f>
        <v>120000</v>
      </c>
      <c r="D72" s="18">
        <v>120000</v>
      </c>
      <c r="E72" s="81">
        <f>Sheet1!G72</f>
        <v>0</v>
      </c>
      <c r="F72" s="14">
        <f t="shared" si="2"/>
        <v>0</v>
      </c>
    </row>
    <row r="73" spans="1:6" ht="27" customHeight="1">
      <c r="A73" s="95" t="s">
        <v>32</v>
      </c>
      <c r="B73" s="99" t="s">
        <v>66</v>
      </c>
      <c r="C73" s="14">
        <f>Sheet1!E73</f>
        <v>188000</v>
      </c>
      <c r="D73" s="18">
        <v>188000</v>
      </c>
      <c r="E73" s="81">
        <f>Sheet1!G73</f>
        <v>0</v>
      </c>
      <c r="F73" s="14">
        <f t="shared" si="2"/>
        <v>0</v>
      </c>
    </row>
    <row r="74" spans="1:6" ht="33.75" customHeight="1">
      <c r="A74" s="95" t="s">
        <v>32</v>
      </c>
      <c r="B74" s="99" t="s">
        <v>41</v>
      </c>
      <c r="C74" s="14">
        <f>Sheet1!E74</f>
        <v>70000</v>
      </c>
      <c r="D74" s="18">
        <v>70000</v>
      </c>
      <c r="E74" s="81">
        <f>Sheet1!G74</f>
        <v>70000</v>
      </c>
      <c r="F74" s="14">
        <f t="shared" si="2"/>
        <v>100</v>
      </c>
    </row>
    <row r="75" spans="1:6" ht="42" customHeight="1">
      <c r="A75" s="95" t="s">
        <v>32</v>
      </c>
      <c r="B75" s="99" t="s">
        <v>60</v>
      </c>
      <c r="C75" s="14">
        <f>Sheet1!E75</f>
        <v>400000</v>
      </c>
      <c r="D75" s="18">
        <v>400000</v>
      </c>
      <c r="E75" s="81">
        <f>Sheet1!G75</f>
        <v>47982</v>
      </c>
      <c r="F75" s="14">
        <f t="shared" si="2"/>
        <v>11.9955</v>
      </c>
    </row>
    <row r="76" spans="1:6" ht="24" customHeight="1">
      <c r="A76" s="95" t="s">
        <v>32</v>
      </c>
      <c r="B76" s="99" t="s">
        <v>61</v>
      </c>
      <c r="C76" s="14">
        <f>Sheet1!E76</f>
        <v>53000</v>
      </c>
      <c r="D76" s="18">
        <v>53000</v>
      </c>
      <c r="E76" s="81">
        <f>Sheet1!G76</f>
        <v>6290</v>
      </c>
      <c r="F76" s="14">
        <f t="shared" si="2"/>
        <v>11.867924528301886</v>
      </c>
    </row>
    <row r="77" spans="1:6" ht="24" customHeight="1">
      <c r="A77" s="95" t="s">
        <v>32</v>
      </c>
      <c r="B77" s="99" t="s">
        <v>62</v>
      </c>
      <c r="C77" s="14">
        <f>Sheet1!E77</f>
        <v>25000</v>
      </c>
      <c r="D77" s="18">
        <v>25000</v>
      </c>
      <c r="E77" s="81">
        <f>Sheet1!G77</f>
        <v>25000</v>
      </c>
      <c r="F77" s="14">
        <f t="shared" si="2"/>
        <v>100</v>
      </c>
    </row>
    <row r="78" spans="1:6" ht="23.25" customHeight="1">
      <c r="A78" s="95" t="s">
        <v>32</v>
      </c>
      <c r="B78" s="99" t="s">
        <v>63</v>
      </c>
      <c r="C78" s="14">
        <f>Sheet1!E78</f>
        <v>80000</v>
      </c>
      <c r="D78" s="18">
        <v>80000</v>
      </c>
      <c r="E78" s="81">
        <f>Sheet1!G78</f>
        <v>80000</v>
      </c>
      <c r="F78" s="14">
        <f t="shared" si="2"/>
        <v>100</v>
      </c>
    </row>
    <row r="79" spans="1:6" ht="23.25" customHeight="1">
      <c r="A79" s="95" t="s">
        <v>32</v>
      </c>
      <c r="B79" s="99" t="s">
        <v>64</v>
      </c>
      <c r="C79" s="14">
        <f>Sheet1!E79</f>
        <v>1000000</v>
      </c>
      <c r="D79" s="18">
        <v>1000000</v>
      </c>
      <c r="E79" s="81">
        <f>Sheet1!G79</f>
        <v>0</v>
      </c>
      <c r="F79" s="14">
        <f t="shared" si="2"/>
        <v>0</v>
      </c>
    </row>
    <row r="80" spans="1:6" ht="22.5" customHeight="1">
      <c r="A80" s="95" t="s">
        <v>32</v>
      </c>
      <c r="B80" s="100" t="s">
        <v>67</v>
      </c>
      <c r="C80" s="14">
        <f>Sheet1!E80</f>
        <v>304000</v>
      </c>
      <c r="D80" s="21">
        <v>304000</v>
      </c>
      <c r="E80" s="81">
        <f>Sheet1!G80</f>
        <v>40000</v>
      </c>
      <c r="F80" s="14">
        <f t="shared" si="2"/>
        <v>13.157894736842104</v>
      </c>
    </row>
    <row r="81" spans="1:6" ht="33" customHeight="1">
      <c r="A81" s="95" t="s">
        <v>32</v>
      </c>
      <c r="B81" s="100" t="s">
        <v>68</v>
      </c>
      <c r="C81" s="14">
        <f>Sheet1!E81</f>
        <v>10000</v>
      </c>
      <c r="D81" s="21">
        <v>10000</v>
      </c>
      <c r="E81" s="81">
        <f>Sheet1!G81</f>
        <v>0</v>
      </c>
      <c r="F81" s="14">
        <f t="shared" si="2"/>
        <v>0</v>
      </c>
    </row>
    <row r="82" spans="1:6" ht="24" customHeight="1">
      <c r="A82" s="103" t="s">
        <v>32</v>
      </c>
      <c r="B82" s="100" t="s">
        <v>65</v>
      </c>
      <c r="C82" s="14">
        <f>Sheet1!E82</f>
        <v>600000</v>
      </c>
      <c r="D82" s="21">
        <v>600000</v>
      </c>
      <c r="E82" s="81">
        <f>Sheet1!G82</f>
        <v>59874</v>
      </c>
      <c r="F82" s="14">
        <f t="shared" si="2"/>
        <v>9.979000000000001</v>
      </c>
    </row>
    <row r="83" spans="1:6" ht="15">
      <c r="A83" s="103" t="s">
        <v>32</v>
      </c>
      <c r="B83" s="105" t="s">
        <v>142</v>
      </c>
      <c r="C83" s="14"/>
      <c r="D83" s="21"/>
      <c r="E83" s="81">
        <f>Sheet1!G83</f>
        <v>1200748</v>
      </c>
      <c r="F83" s="14"/>
    </row>
    <row r="84" spans="1:6" ht="15">
      <c r="A84" s="103" t="s">
        <v>32</v>
      </c>
      <c r="B84" s="105" t="s">
        <v>143</v>
      </c>
      <c r="C84" s="14"/>
      <c r="D84" s="21"/>
      <c r="E84" s="81">
        <f>Sheet1!G84</f>
        <v>543851</v>
      </c>
      <c r="F84" s="14"/>
    </row>
    <row r="85" spans="1:6" ht="15">
      <c r="A85" s="103" t="s">
        <v>32</v>
      </c>
      <c r="B85" s="105" t="s">
        <v>144</v>
      </c>
      <c r="C85" s="14"/>
      <c r="D85" s="21"/>
      <c r="E85" s="81">
        <f>Sheet1!G85</f>
        <v>0</v>
      </c>
      <c r="F85" s="14"/>
    </row>
    <row r="86" spans="1:6" ht="15">
      <c r="A86" s="103" t="s">
        <v>32</v>
      </c>
      <c r="B86" s="105" t="s">
        <v>145</v>
      </c>
      <c r="C86" s="14"/>
      <c r="D86" s="21"/>
      <c r="E86" s="81">
        <f>Sheet1!G86</f>
        <v>0</v>
      </c>
      <c r="F86" s="14"/>
    </row>
    <row r="87" spans="1:6" ht="15">
      <c r="A87" s="103" t="s">
        <v>32</v>
      </c>
      <c r="B87" s="105" t="s">
        <v>146</v>
      </c>
      <c r="C87" s="14"/>
      <c r="D87" s="21"/>
      <c r="E87" s="81">
        <f>Sheet1!G87</f>
        <v>0</v>
      </c>
      <c r="F87" s="14"/>
    </row>
    <row r="88" spans="1:6" ht="15">
      <c r="A88" s="103" t="s">
        <v>32</v>
      </c>
      <c r="B88" s="105" t="s">
        <v>147</v>
      </c>
      <c r="C88" s="14"/>
      <c r="D88" s="21"/>
      <c r="E88" s="81">
        <f>Sheet1!G88</f>
        <v>8788390</v>
      </c>
      <c r="F88" s="14"/>
    </row>
    <row r="89" spans="1:6" ht="15">
      <c r="A89" s="103" t="s">
        <v>32</v>
      </c>
      <c r="B89" s="105" t="s">
        <v>148</v>
      </c>
      <c r="C89" s="14"/>
      <c r="D89" s="21"/>
      <c r="E89" s="81">
        <f>Sheet1!G89</f>
        <v>0</v>
      </c>
      <c r="F89" s="14"/>
    </row>
    <row r="90" spans="1:6" ht="15">
      <c r="A90" s="103" t="s">
        <v>32</v>
      </c>
      <c r="B90" s="105" t="s">
        <v>149</v>
      </c>
      <c r="C90" s="14"/>
      <c r="D90" s="21"/>
      <c r="E90" s="81">
        <f>Sheet1!G90</f>
        <v>0</v>
      </c>
      <c r="F90" s="14"/>
    </row>
    <row r="91" spans="1:6" ht="15">
      <c r="A91" s="108" t="s">
        <v>32</v>
      </c>
      <c r="B91" s="109" t="s">
        <v>150</v>
      </c>
      <c r="C91" s="114"/>
      <c r="D91" s="114"/>
      <c r="E91" s="115">
        <f>Sheet1!G91</f>
        <v>464010</v>
      </c>
      <c r="F91" s="114"/>
    </row>
  </sheetData>
  <sheetProtection/>
  <mergeCells count="9">
    <mergeCell ref="E1:F1"/>
    <mergeCell ref="A2:F2"/>
    <mergeCell ref="A4:F4"/>
    <mergeCell ref="A5:A7"/>
    <mergeCell ref="B5:B7"/>
    <mergeCell ref="C5:D7"/>
    <mergeCell ref="F5:F7"/>
    <mergeCell ref="E5:E7"/>
    <mergeCell ref="A3:F3"/>
  </mergeCells>
  <printOptions/>
  <pageMargins left="0.2" right="0.1968503937007874" top="0.6299212598425197" bottom="0.7480314960629921" header="0.31496062992125984" footer="0.31496062992125984"/>
  <pageSetup horizontalDpi="600" verticalDpi="600" orientation="portrait" paperSize="9" r:id="rId1"/>
  <headerFooter>
    <oddHeader>&amp;RBiểu số 02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6384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253906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3" customFormat="1" ht="27" customHeight="1">
      <c r="A1" s="30" t="s">
        <v>56</v>
      </c>
      <c r="B1" s="31"/>
      <c r="C1" s="31"/>
      <c r="D1" s="31"/>
      <c r="E1" s="385" t="s">
        <v>101</v>
      </c>
      <c r="F1" s="385"/>
      <c r="G1" s="385"/>
      <c r="H1" s="385"/>
      <c r="I1" s="167"/>
    </row>
    <row r="2" spans="1:9" s="63" customFormat="1" ht="39" customHeight="1">
      <c r="A2" s="386" t="s">
        <v>153</v>
      </c>
      <c r="B2" s="386"/>
      <c r="C2" s="386"/>
      <c r="D2" s="386"/>
      <c r="E2" s="386"/>
      <c r="F2" s="386"/>
      <c r="G2" s="386"/>
      <c r="H2" s="386"/>
      <c r="I2" s="167"/>
    </row>
    <row r="3" spans="1:9" s="63" customFormat="1" ht="45" customHeight="1">
      <c r="A3" s="408" t="s">
        <v>249</v>
      </c>
      <c r="B3" s="408"/>
      <c r="C3" s="408"/>
      <c r="D3" s="408"/>
      <c r="E3" s="408"/>
      <c r="F3" s="408"/>
      <c r="G3" s="408"/>
      <c r="H3" s="408"/>
      <c r="I3" s="168"/>
    </row>
    <row r="4" spans="1:11" ht="19.5" customHeight="1">
      <c r="A4" s="117"/>
      <c r="B4" s="117"/>
      <c r="C4" s="117"/>
      <c r="D4" s="117"/>
      <c r="E4" s="409" t="s">
        <v>154</v>
      </c>
      <c r="F4" s="409"/>
      <c r="G4" s="409"/>
      <c r="H4" s="409"/>
      <c r="I4" s="118"/>
      <c r="K4" s="192">
        <f>G11+G35+G51+G102</f>
        <v>15747104000</v>
      </c>
    </row>
    <row r="5" spans="1:11" s="116" customFormat="1" ht="24.75" customHeight="1">
      <c r="A5" s="410" t="s">
        <v>0</v>
      </c>
      <c r="B5" s="410" t="s">
        <v>6</v>
      </c>
      <c r="C5" s="402" t="s">
        <v>248</v>
      </c>
      <c r="D5" s="403"/>
      <c r="E5" s="389" t="s">
        <v>248</v>
      </c>
      <c r="F5" s="390"/>
      <c r="G5" s="398" t="s">
        <v>247</v>
      </c>
      <c r="H5" s="395" t="s">
        <v>113</v>
      </c>
      <c r="I5" s="120"/>
      <c r="K5" s="121">
        <v>421648000000</v>
      </c>
    </row>
    <row r="6" spans="1:11" s="116" customFormat="1" ht="29.25" customHeight="1">
      <c r="A6" s="410"/>
      <c r="B6" s="410"/>
      <c r="C6" s="404"/>
      <c r="D6" s="405"/>
      <c r="E6" s="391"/>
      <c r="F6" s="392"/>
      <c r="G6" s="399"/>
      <c r="H6" s="396"/>
      <c r="I6" s="120"/>
      <c r="K6" s="119" t="s">
        <v>155</v>
      </c>
    </row>
    <row r="7" spans="1:13" s="116" customFormat="1" ht="37.5" customHeight="1">
      <c r="A7" s="410"/>
      <c r="B7" s="410"/>
      <c r="C7" s="406"/>
      <c r="D7" s="407"/>
      <c r="E7" s="393"/>
      <c r="F7" s="394"/>
      <c r="G7" s="400"/>
      <c r="H7" s="397"/>
      <c r="I7" s="120"/>
      <c r="K7" s="119">
        <f>L7+M7</f>
        <v>100918572617</v>
      </c>
      <c r="L7" s="122">
        <v>84183915352</v>
      </c>
      <c r="M7" s="122">
        <v>16734657265</v>
      </c>
    </row>
    <row r="8" spans="1:11" ht="14.25">
      <c r="A8" s="193" t="s">
        <v>7</v>
      </c>
      <c r="B8" s="193" t="s">
        <v>8</v>
      </c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193" t="s">
        <v>51</v>
      </c>
      <c r="I8" s="123"/>
      <c r="J8" s="170">
        <f>G9/E9*100</f>
        <v>17.732574930510758</v>
      </c>
      <c r="K8" s="124">
        <v>26149525074</v>
      </c>
    </row>
    <row r="9" spans="1:13" ht="20.25" customHeight="1">
      <c r="A9" s="125"/>
      <c r="B9" s="126" t="s">
        <v>9</v>
      </c>
      <c r="C9" s="127">
        <f>C10+C32</f>
        <v>572258791456</v>
      </c>
      <c r="D9" s="127">
        <f>D10+D32</f>
        <v>57395929456</v>
      </c>
      <c r="E9" s="127">
        <f>E10+E32</f>
        <v>421648000000</v>
      </c>
      <c r="F9" s="127">
        <f>F10+F32</f>
        <v>93214862000</v>
      </c>
      <c r="G9" s="127">
        <f>G10+G32</f>
        <v>74769047543</v>
      </c>
      <c r="H9" s="128">
        <f aca="true" t="shared" si="0" ref="H9:H14">G9/C9*100</f>
        <v>13.065600504409003</v>
      </c>
      <c r="I9" s="129" t="s">
        <v>156</v>
      </c>
      <c r="J9" s="192">
        <f>E9+F9</f>
        <v>514862862000</v>
      </c>
      <c r="K9" s="194">
        <f>K7-K8</f>
        <v>74769047543</v>
      </c>
      <c r="M9" s="192">
        <f>G9-K9</f>
        <v>0</v>
      </c>
    </row>
    <row r="10" spans="1:9" ht="14.25">
      <c r="A10" s="130" t="s">
        <v>7</v>
      </c>
      <c r="B10" s="131" t="s">
        <v>10</v>
      </c>
      <c r="C10" s="132">
        <f>C11+C16+C31</f>
        <v>366153782695</v>
      </c>
      <c r="D10" s="132">
        <f>D11+D16+D31</f>
        <v>6681782695</v>
      </c>
      <c r="E10" s="132">
        <f>E11+E16+E31</f>
        <v>359472000000</v>
      </c>
      <c r="F10" s="132">
        <f>F11+F16+F31</f>
        <v>0</v>
      </c>
      <c r="G10" s="132">
        <f>G11+G16+G31</f>
        <v>61593770484</v>
      </c>
      <c r="H10" s="128">
        <f t="shared" si="0"/>
        <v>16.821830988786093</v>
      </c>
      <c r="I10" s="129"/>
    </row>
    <row r="11" spans="1:11" ht="23.25" customHeight="1">
      <c r="A11" s="130" t="s">
        <v>3</v>
      </c>
      <c r="B11" s="131" t="s">
        <v>11</v>
      </c>
      <c r="C11" s="132">
        <f>SUM(C12:C14)</f>
        <v>23691707000</v>
      </c>
      <c r="D11" s="132">
        <f>SUM(D12:D14)</f>
        <v>2750000000</v>
      </c>
      <c r="E11" s="132">
        <f>SUM(E12:E14)</f>
        <v>20941707000</v>
      </c>
      <c r="F11" s="132"/>
      <c r="G11" s="132">
        <f>K11-G35-G51-G102</f>
        <v>3080241000</v>
      </c>
      <c r="H11" s="128">
        <f t="shared" si="0"/>
        <v>13.001346842589264</v>
      </c>
      <c r="I11" s="129">
        <f>G11+G35+G51+G102</f>
        <v>15747104000</v>
      </c>
      <c r="K11" s="132">
        <f>13621104000+2126000000</f>
        <v>15747104000</v>
      </c>
    </row>
    <row r="12" spans="1:9" ht="29.25" customHeight="1">
      <c r="A12" s="133">
        <v>1</v>
      </c>
      <c r="B12" s="134" t="s">
        <v>45</v>
      </c>
      <c r="C12" s="135">
        <f>SUM(D12:F12)</f>
        <v>10800000000</v>
      </c>
      <c r="D12" s="135"/>
      <c r="E12" s="135">
        <v>10800000000</v>
      </c>
      <c r="F12" s="135"/>
      <c r="G12" s="135">
        <v>607241000</v>
      </c>
      <c r="H12" s="128">
        <f t="shared" si="0"/>
        <v>5.622601851851852</v>
      </c>
      <c r="I12" s="129"/>
    </row>
    <row r="13" spans="1:10" ht="14.25">
      <c r="A13" s="133">
        <v>2</v>
      </c>
      <c r="B13" s="134" t="s">
        <v>47</v>
      </c>
      <c r="C13" s="135">
        <f>SUM(D13:F13)</f>
        <v>5653000000</v>
      </c>
      <c r="D13" s="135">
        <v>253000000</v>
      </c>
      <c r="E13" s="135">
        <f>2400000000+3000000000</f>
        <v>5400000000</v>
      </c>
      <c r="F13" s="135"/>
      <c r="G13" s="135">
        <v>500000000</v>
      </c>
      <c r="H13" s="128">
        <f t="shared" si="0"/>
        <v>8.84486113568017</v>
      </c>
      <c r="I13" s="129"/>
      <c r="J13" s="192">
        <f>G11-G12-G13</f>
        <v>1973000000</v>
      </c>
    </row>
    <row r="14" spans="1:14" ht="25.5">
      <c r="A14" s="133">
        <v>3</v>
      </c>
      <c r="B14" s="134" t="s">
        <v>157</v>
      </c>
      <c r="C14" s="135">
        <f>SUM(D14:F14)</f>
        <v>7238707000</v>
      </c>
      <c r="D14" s="135">
        <v>2497000000</v>
      </c>
      <c r="E14" s="136">
        <v>4741707000</v>
      </c>
      <c r="F14" s="135"/>
      <c r="G14" s="136">
        <v>1973000000</v>
      </c>
      <c r="H14" s="128">
        <f t="shared" si="0"/>
        <v>27.25624894059119</v>
      </c>
      <c r="I14" s="129"/>
      <c r="L14" s="192">
        <f>K11+K15</f>
        <v>74469047543</v>
      </c>
      <c r="M14" s="192">
        <f>K9-L14</f>
        <v>300000000</v>
      </c>
      <c r="N14" s="170" t="s">
        <v>158</v>
      </c>
    </row>
    <row r="15" spans="1:12" ht="15" hidden="1">
      <c r="A15" s="133"/>
      <c r="B15" s="134"/>
      <c r="C15" s="137"/>
      <c r="D15" s="135"/>
      <c r="E15" s="137"/>
      <c r="F15" s="135"/>
      <c r="G15" s="135"/>
      <c r="H15" s="180"/>
      <c r="I15" s="138"/>
      <c r="K15" s="194">
        <f>K16+L16+M16</f>
        <v>58721943543</v>
      </c>
      <c r="L15" s="192">
        <f>K15+G35</f>
        <v>68634806543</v>
      </c>
    </row>
    <row r="16" spans="1:13" ht="27.75" customHeight="1">
      <c r="A16" s="130" t="s">
        <v>5</v>
      </c>
      <c r="B16" s="131" t="s">
        <v>4</v>
      </c>
      <c r="C16" s="139">
        <f>SUM(C17:C30)</f>
        <v>335149075695</v>
      </c>
      <c r="D16" s="139">
        <f>SUM(D17:D30)</f>
        <v>3931782695</v>
      </c>
      <c r="E16" s="139">
        <f>SUM(E17:E30)</f>
        <v>331217293000</v>
      </c>
      <c r="F16" s="139">
        <f>SUM(F17:F30)</f>
        <v>0</v>
      </c>
      <c r="G16" s="139">
        <f>SUM(G17:G30)</f>
        <v>58485979484</v>
      </c>
      <c r="H16" s="128">
        <f>G16/C16*100</f>
        <v>17.450735724906114</v>
      </c>
      <c r="I16" s="129">
        <f>G16+G31+G38+G52+G107</f>
        <v>59021943543</v>
      </c>
      <c r="J16" s="192">
        <f>+G31+G16+G38+G107-L16-M16-K16</f>
        <v>300000000</v>
      </c>
      <c r="K16" s="178">
        <v>43365417278</v>
      </c>
      <c r="L16" s="178">
        <v>14585722265</v>
      </c>
      <c r="M16" s="192">
        <f>747869000+22935000</f>
        <v>770804000</v>
      </c>
    </row>
    <row r="17" spans="1:12" ht="14.25">
      <c r="A17" s="133">
        <v>1</v>
      </c>
      <c r="B17" s="140" t="s">
        <v>12</v>
      </c>
      <c r="C17" s="135">
        <f>SUM(D17:F17)</f>
        <v>19737682470</v>
      </c>
      <c r="D17" s="141">
        <f>627749000+498193000+185600000+34300000+2009840470</f>
        <v>3355682470</v>
      </c>
      <c r="E17" s="135">
        <f>17691000000-E109</f>
        <v>16382000000</v>
      </c>
      <c r="F17" s="142"/>
      <c r="G17" s="143">
        <f>918967565+268697000-G109-G42-27550000-34285000+32669047</f>
        <v>1143961553</v>
      </c>
      <c r="H17" s="128">
        <f>G17/C17*100</f>
        <v>5.795825091110609</v>
      </c>
      <c r="I17" s="129"/>
      <c r="J17" s="192">
        <f>K9-G9</f>
        <v>0</v>
      </c>
      <c r="K17" s="135">
        <v>17691000</v>
      </c>
      <c r="L17" s="144" t="s">
        <v>159</v>
      </c>
    </row>
    <row r="18" spans="1:12" ht="14.25">
      <c r="A18" s="133">
        <v>2</v>
      </c>
      <c r="B18" s="140" t="s">
        <v>13</v>
      </c>
      <c r="C18" s="135">
        <f aca="true" t="shared" si="1" ref="C18:C30">SUM(D18:F18)</f>
        <v>186763905429</v>
      </c>
      <c r="D18" s="141">
        <v>12905429</v>
      </c>
      <c r="E18" s="135">
        <v>186751000000</v>
      </c>
      <c r="F18" s="142"/>
      <c r="G18" s="142">
        <v>33284356858</v>
      </c>
      <c r="H18" s="128">
        <f>G18/C18*100</f>
        <v>17.82162178582914</v>
      </c>
      <c r="I18" s="129"/>
      <c r="J18" s="192">
        <f>G16+G38++G52+G107</f>
        <v>58994393543</v>
      </c>
      <c r="K18" s="135">
        <v>400000</v>
      </c>
      <c r="L18" s="144" t="s">
        <v>160</v>
      </c>
    </row>
    <row r="19" spans="1:12" ht="14.25">
      <c r="A19" s="133">
        <v>3</v>
      </c>
      <c r="B19" s="140" t="s">
        <v>14</v>
      </c>
      <c r="C19" s="135">
        <f t="shared" si="1"/>
        <v>0</v>
      </c>
      <c r="D19" s="142"/>
      <c r="E19" s="135"/>
      <c r="F19" s="142"/>
      <c r="G19" s="142"/>
      <c r="H19" s="181"/>
      <c r="I19" s="145"/>
      <c r="K19" s="135">
        <v>99208970</v>
      </c>
      <c r="L19" s="144" t="s">
        <v>21</v>
      </c>
    </row>
    <row r="20" spans="1:12" ht="14.25">
      <c r="A20" s="133">
        <v>4</v>
      </c>
      <c r="B20" s="140" t="s">
        <v>161</v>
      </c>
      <c r="C20" s="135">
        <f t="shared" si="1"/>
        <v>0</v>
      </c>
      <c r="D20" s="142"/>
      <c r="E20" s="135"/>
      <c r="F20" s="142"/>
      <c r="G20" s="142"/>
      <c r="H20" s="128"/>
      <c r="I20" s="129"/>
      <c r="J20" s="192">
        <f>J18-K15</f>
        <v>272450000</v>
      </c>
      <c r="K20" s="135">
        <v>186751000</v>
      </c>
      <c r="L20" s="144" t="s">
        <v>162</v>
      </c>
    </row>
    <row r="21" spans="1:12" ht="14.25">
      <c r="A21" s="133">
        <v>5</v>
      </c>
      <c r="B21" s="140" t="s">
        <v>16</v>
      </c>
      <c r="C21" s="135">
        <f t="shared" si="1"/>
        <v>400000000</v>
      </c>
      <c r="D21" s="142"/>
      <c r="E21" s="135">
        <v>400000000</v>
      </c>
      <c r="F21" s="142"/>
      <c r="G21" s="142"/>
      <c r="H21" s="128">
        <f aca="true" t="shared" si="2" ref="H21:H28">G21/C21*100</f>
        <v>0</v>
      </c>
      <c r="I21" s="129"/>
      <c r="K21" s="135">
        <v>1831961</v>
      </c>
      <c r="L21" s="144" t="s">
        <v>163</v>
      </c>
    </row>
    <row r="22" spans="1:12" ht="14.25">
      <c r="A22" s="133">
        <v>6</v>
      </c>
      <c r="B22" s="140" t="s">
        <v>17</v>
      </c>
      <c r="C22" s="135">
        <f t="shared" si="1"/>
        <v>1831961000</v>
      </c>
      <c r="D22" s="142"/>
      <c r="E22" s="135">
        <v>1831961000</v>
      </c>
      <c r="F22" s="142"/>
      <c r="G22" s="142">
        <f>123344302+40209000</f>
        <v>163553302</v>
      </c>
      <c r="H22" s="128">
        <f t="shared" si="2"/>
        <v>8.927772043182141</v>
      </c>
      <c r="I22" s="129"/>
      <c r="K22" s="135">
        <v>190000</v>
      </c>
      <c r="L22" s="144" t="s">
        <v>164</v>
      </c>
    </row>
    <row r="23" spans="1:12" ht="14.25">
      <c r="A23" s="133">
        <v>7</v>
      </c>
      <c r="B23" s="140" t="s">
        <v>18</v>
      </c>
      <c r="C23" s="135">
        <f t="shared" si="1"/>
        <v>190000000</v>
      </c>
      <c r="D23" s="142"/>
      <c r="E23" s="135">
        <v>190000000</v>
      </c>
      <c r="F23" s="142"/>
      <c r="G23" s="142">
        <v>7710000</v>
      </c>
      <c r="H23" s="128">
        <f t="shared" si="2"/>
        <v>4.057894736842106</v>
      </c>
      <c r="I23" s="129"/>
      <c r="K23" s="135">
        <v>1234433</v>
      </c>
      <c r="L23" s="144" t="s">
        <v>165</v>
      </c>
    </row>
    <row r="24" spans="1:12" ht="14.25">
      <c r="A24" s="133">
        <v>8</v>
      </c>
      <c r="B24" s="140" t="s">
        <v>19</v>
      </c>
      <c r="C24" s="135">
        <f t="shared" si="1"/>
        <v>1234433000</v>
      </c>
      <c r="D24" s="142"/>
      <c r="E24" s="135">
        <v>1234433000</v>
      </c>
      <c r="F24" s="142"/>
      <c r="G24" s="142">
        <f>200663361+20079650</f>
        <v>220743011</v>
      </c>
      <c r="H24" s="128">
        <f t="shared" si="2"/>
        <v>17.882137872205295</v>
      </c>
      <c r="I24" s="129"/>
      <c r="K24" s="135">
        <v>13729653</v>
      </c>
      <c r="L24" s="144" t="s">
        <v>166</v>
      </c>
    </row>
    <row r="25" spans="1:12" ht="14.25">
      <c r="A25" s="133">
        <v>9</v>
      </c>
      <c r="B25" s="140" t="s">
        <v>20</v>
      </c>
      <c r="C25" s="135">
        <f t="shared" si="1"/>
        <v>13659653000</v>
      </c>
      <c r="D25" s="142"/>
      <c r="E25" s="135">
        <f>13729653000-E110</f>
        <v>13659653000</v>
      </c>
      <c r="F25" s="142"/>
      <c r="G25" s="142">
        <f>2128931500+248430675</f>
        <v>2377362175</v>
      </c>
      <c r="H25" s="128">
        <f t="shared" si="2"/>
        <v>17.404264771586803</v>
      </c>
      <c r="I25" s="129"/>
      <c r="K25" s="135">
        <v>3354801</v>
      </c>
      <c r="L25" s="144" t="s">
        <v>167</v>
      </c>
    </row>
    <row r="26" spans="1:12" ht="14.25">
      <c r="A26" s="133">
        <v>10</v>
      </c>
      <c r="B26" s="140" t="s">
        <v>21</v>
      </c>
      <c r="C26" s="135">
        <f t="shared" si="1"/>
        <v>99772164796</v>
      </c>
      <c r="D26" s="142">
        <f>39030000+524164796</f>
        <v>563194796</v>
      </c>
      <c r="E26" s="135">
        <v>99208970000</v>
      </c>
      <c r="F26" s="142"/>
      <c r="G26" s="142">
        <f>5676484645+12140190760-G112-G114</f>
        <v>17357083405</v>
      </c>
      <c r="H26" s="128">
        <f t="shared" si="2"/>
        <v>17.396719255805774</v>
      </c>
      <c r="I26" s="129"/>
      <c r="K26" s="135">
        <v>8284475</v>
      </c>
      <c r="L26" s="144" t="s">
        <v>168</v>
      </c>
    </row>
    <row r="27" spans="1:12" ht="14.25">
      <c r="A27" s="133">
        <v>11</v>
      </c>
      <c r="B27" s="146" t="s">
        <v>22</v>
      </c>
      <c r="C27" s="135">
        <f t="shared" si="1"/>
        <v>3274801000</v>
      </c>
      <c r="D27" s="142"/>
      <c r="E27" s="135">
        <f>3354801000-E108</f>
        <v>3274801000</v>
      </c>
      <c r="F27" s="142"/>
      <c r="G27" s="142">
        <v>814367022</v>
      </c>
      <c r="H27" s="128">
        <f t="shared" si="2"/>
        <v>24.867679654427857</v>
      </c>
      <c r="I27" s="129"/>
      <c r="K27" s="135"/>
      <c r="L27" s="144" t="s">
        <v>169</v>
      </c>
    </row>
    <row r="28" spans="1:12" ht="14.25">
      <c r="A28" s="133">
        <v>12</v>
      </c>
      <c r="B28" s="147" t="s">
        <v>23</v>
      </c>
      <c r="C28" s="135">
        <f t="shared" si="1"/>
        <v>8284475000</v>
      </c>
      <c r="D28" s="142"/>
      <c r="E28" s="135">
        <v>8284475000</v>
      </c>
      <c r="F28" s="142"/>
      <c r="G28" s="142">
        <f>900000000+1046038158</f>
        <v>1946038158</v>
      </c>
      <c r="H28" s="128">
        <f t="shared" si="2"/>
        <v>23.490180826183916</v>
      </c>
      <c r="I28" s="129"/>
      <c r="K28" s="135">
        <v>3000000</v>
      </c>
      <c r="L28" s="144" t="s">
        <v>170</v>
      </c>
    </row>
    <row r="29" spans="1:12" ht="14.25">
      <c r="A29" s="133">
        <v>13</v>
      </c>
      <c r="B29" s="147" t="s">
        <v>171</v>
      </c>
      <c r="C29" s="135">
        <f t="shared" si="1"/>
        <v>0</v>
      </c>
      <c r="D29" s="142"/>
      <c r="E29" s="135"/>
      <c r="F29" s="142"/>
      <c r="G29" s="142">
        <v>100000000</v>
      </c>
      <c r="H29" s="128"/>
      <c r="I29" s="129"/>
      <c r="K29" s="137"/>
      <c r="L29" s="148"/>
    </row>
    <row r="30" spans="1:9" ht="14.25">
      <c r="A30" s="133">
        <v>14</v>
      </c>
      <c r="B30" s="147" t="s">
        <v>172</v>
      </c>
      <c r="C30" s="135">
        <f t="shared" si="1"/>
        <v>0</v>
      </c>
      <c r="D30" s="142"/>
      <c r="E30" s="135"/>
      <c r="F30" s="142"/>
      <c r="G30" s="142">
        <f>747869000+22935000+300000000</f>
        <v>1070804000</v>
      </c>
      <c r="H30" s="128"/>
      <c r="I30" s="129"/>
    </row>
    <row r="31" spans="1:9" ht="24.75" customHeight="1">
      <c r="A31" s="130" t="s">
        <v>24</v>
      </c>
      <c r="B31" s="131" t="s">
        <v>25</v>
      </c>
      <c r="C31" s="132">
        <f>SUM(D31:F31)</f>
        <v>7313000000</v>
      </c>
      <c r="D31" s="132"/>
      <c r="E31" s="132">
        <v>7313000000</v>
      </c>
      <c r="F31" s="132"/>
      <c r="G31" s="132">
        <v>27550000</v>
      </c>
      <c r="H31" s="128">
        <f aca="true" t="shared" si="3" ref="H31:H41">G31/C31*100</f>
        <v>0.3767263776835772</v>
      </c>
      <c r="I31" s="129"/>
    </row>
    <row r="32" spans="1:9" ht="47.25" customHeight="1">
      <c r="A32" s="130" t="s">
        <v>8</v>
      </c>
      <c r="B32" s="131" t="s">
        <v>48</v>
      </c>
      <c r="C32" s="132">
        <f>C33+C101</f>
        <v>206105008761</v>
      </c>
      <c r="D32" s="132">
        <f>D33+D101</f>
        <v>50714146761</v>
      </c>
      <c r="E32" s="132">
        <f>E33+E101</f>
        <v>62176000000</v>
      </c>
      <c r="F32" s="132">
        <f>F33+F101</f>
        <v>93214862000</v>
      </c>
      <c r="G32" s="132">
        <f>G33+G101</f>
        <v>13175277059</v>
      </c>
      <c r="H32" s="128">
        <f t="shared" si="3"/>
        <v>6.392506974092072</v>
      </c>
      <c r="I32" s="129"/>
    </row>
    <row r="33" spans="1:20" ht="21.75" customHeight="1">
      <c r="A33" s="130" t="s">
        <v>3</v>
      </c>
      <c r="B33" s="131" t="s">
        <v>26</v>
      </c>
      <c r="C33" s="132">
        <f>C34+C50</f>
        <v>184228897761</v>
      </c>
      <c r="D33" s="132">
        <f>D34+D50</f>
        <v>31855897761</v>
      </c>
      <c r="E33" s="132">
        <f>E34+E50</f>
        <v>60717000000</v>
      </c>
      <c r="F33" s="132">
        <f>F34+F50</f>
        <v>91656000000</v>
      </c>
      <c r="G33" s="132">
        <f>G34+G50</f>
        <v>12146243000</v>
      </c>
      <c r="H33" s="128">
        <f t="shared" si="3"/>
        <v>6.593017245186643</v>
      </c>
      <c r="I33" s="129"/>
      <c r="J33" s="192">
        <f>E33+F33</f>
        <v>152373000000</v>
      </c>
      <c r="T33" s="178">
        <v>31855897761</v>
      </c>
    </row>
    <row r="34" spans="1:20" ht="21" customHeight="1">
      <c r="A34" s="133">
        <v>1</v>
      </c>
      <c r="B34" s="134" t="s">
        <v>53</v>
      </c>
      <c r="C34" s="132">
        <f>C35+C38</f>
        <v>123275178385</v>
      </c>
      <c r="D34" s="132">
        <f>D35+D38</f>
        <v>25467178385</v>
      </c>
      <c r="E34" s="132">
        <f>E35+E38</f>
        <v>14888000000</v>
      </c>
      <c r="F34" s="132">
        <f>F35+F38</f>
        <v>82920000000</v>
      </c>
      <c r="G34" s="132">
        <f>G35+G38</f>
        <v>9916243000</v>
      </c>
      <c r="H34" s="128">
        <f t="shared" si="3"/>
        <v>8.043989982339054</v>
      </c>
      <c r="I34" s="129"/>
      <c r="T34" s="178"/>
    </row>
    <row r="35" spans="1:20" ht="22.5" customHeight="1">
      <c r="A35" s="133" t="s">
        <v>27</v>
      </c>
      <c r="B35" s="134" t="s">
        <v>28</v>
      </c>
      <c r="C35" s="135">
        <f>C36+C37</f>
        <v>110454178385</v>
      </c>
      <c r="D35" s="135">
        <f>D36+D37</f>
        <v>25467178385</v>
      </c>
      <c r="E35" s="135">
        <f>E36+E37</f>
        <v>6081000000</v>
      </c>
      <c r="F35" s="135">
        <f>F36+F37</f>
        <v>78906000000</v>
      </c>
      <c r="G35" s="135">
        <f>G36+G37</f>
        <v>9912863000</v>
      </c>
      <c r="H35" s="128">
        <f t="shared" si="3"/>
        <v>8.974638302453025</v>
      </c>
      <c r="I35" s="129"/>
      <c r="T35" s="192">
        <f>G35+G50</f>
        <v>12142863000</v>
      </c>
    </row>
    <row r="36" spans="1:20" ht="22.5" customHeight="1">
      <c r="A36" s="133" t="s">
        <v>32</v>
      </c>
      <c r="B36" s="149" t="s">
        <v>70</v>
      </c>
      <c r="C36" s="135">
        <f>SUM(D36:F36)</f>
        <v>12303268385</v>
      </c>
      <c r="D36" s="135">
        <f>5098078000+1124190385</f>
        <v>6222268385</v>
      </c>
      <c r="E36" s="135">
        <v>6081000000</v>
      </c>
      <c r="F36" s="135"/>
      <c r="G36" s="135">
        <f>2737190000+420000000</f>
        <v>3157190000</v>
      </c>
      <c r="H36" s="128">
        <f t="shared" si="3"/>
        <v>25.661392576375956</v>
      </c>
      <c r="I36" s="129"/>
      <c r="T36" s="192">
        <f>E34+E50</f>
        <v>60717000000</v>
      </c>
    </row>
    <row r="37" spans="1:9" ht="22.5" customHeight="1">
      <c r="A37" s="133" t="s">
        <v>32</v>
      </c>
      <c r="B37" s="150" t="s">
        <v>69</v>
      </c>
      <c r="C37" s="135">
        <f>SUM(D37:F37)</f>
        <v>98150910000</v>
      </c>
      <c r="D37" s="135">
        <v>19244910000</v>
      </c>
      <c r="E37" s="135"/>
      <c r="F37" s="135">
        <v>78906000000</v>
      </c>
      <c r="G37" s="135">
        <v>6755673000</v>
      </c>
      <c r="H37" s="128">
        <f t="shared" si="3"/>
        <v>6.882944844831291</v>
      </c>
      <c r="I37" s="129"/>
    </row>
    <row r="38" spans="1:9" ht="32.25" customHeight="1">
      <c r="A38" s="133" t="s">
        <v>30</v>
      </c>
      <c r="B38" s="134" t="s">
        <v>44</v>
      </c>
      <c r="C38" s="132">
        <f>C39+C43</f>
        <v>12821000000</v>
      </c>
      <c r="D38" s="132">
        <f>D39+D43</f>
        <v>0</v>
      </c>
      <c r="E38" s="132">
        <f>E39+E43</f>
        <v>8807000000</v>
      </c>
      <c r="F38" s="132">
        <f>F39+F43</f>
        <v>4014000000</v>
      </c>
      <c r="G38" s="132">
        <f>G39+G43</f>
        <v>3380000</v>
      </c>
      <c r="H38" s="128">
        <f t="shared" si="3"/>
        <v>0.026362998206068168</v>
      </c>
      <c r="I38" s="129"/>
    </row>
    <row r="39" spans="1:9" ht="32.25" customHeight="1">
      <c r="A39" s="151" t="s">
        <v>173</v>
      </c>
      <c r="B39" s="152" t="s">
        <v>70</v>
      </c>
      <c r="C39" s="132">
        <f>SUM(C40:C42)</f>
        <v>4014000000</v>
      </c>
      <c r="D39" s="132">
        <f>SUM(D40:D42)</f>
        <v>0</v>
      </c>
      <c r="E39" s="132">
        <f>SUM(E40:E42)</f>
        <v>0</v>
      </c>
      <c r="F39" s="132">
        <f>SUM(F40:F42)</f>
        <v>4014000000</v>
      </c>
      <c r="G39" s="132">
        <f>SUM(G40:G42)</f>
        <v>3380000</v>
      </c>
      <c r="H39" s="128">
        <f t="shared" si="3"/>
        <v>0.08420528151469855</v>
      </c>
      <c r="I39" s="129"/>
    </row>
    <row r="40" spans="1:9" ht="14.25">
      <c r="A40" s="182" t="s">
        <v>43</v>
      </c>
      <c r="B40" s="195" t="s">
        <v>175</v>
      </c>
      <c r="C40" s="135">
        <f>SUM(D40:F40)</f>
        <v>849000000</v>
      </c>
      <c r="D40" s="135"/>
      <c r="E40" s="135">
        <f>'[1]Biểu số 02'!E13</f>
        <v>0</v>
      </c>
      <c r="F40" s="135">
        <f>'[1]Biểu số 02'!F13</f>
        <v>849000000</v>
      </c>
      <c r="G40" s="135">
        <f>'[1]Biểu số 02'!K13</f>
        <v>0</v>
      </c>
      <c r="H40" s="128">
        <f t="shared" si="3"/>
        <v>0</v>
      </c>
      <c r="I40" s="129"/>
    </row>
    <row r="41" spans="1:9" ht="32.25" customHeight="1">
      <c r="A41" s="182" t="s">
        <v>43</v>
      </c>
      <c r="B41" s="153" t="s">
        <v>176</v>
      </c>
      <c r="C41" s="135">
        <f aca="true" t="shared" si="4" ref="C41:C100">SUM(D41:F41)</f>
        <v>2500000000</v>
      </c>
      <c r="D41" s="135"/>
      <c r="E41" s="135"/>
      <c r="F41" s="135">
        <f>'[1]Biểu số 02'!F29</f>
        <v>2500000000</v>
      </c>
      <c r="G41" s="135">
        <f>'[1]Biểu số 02'!K29</f>
        <v>0</v>
      </c>
      <c r="H41" s="128">
        <f t="shared" si="3"/>
        <v>0</v>
      </c>
      <c r="I41" s="129"/>
    </row>
    <row r="42" spans="1:9" ht="32.25" customHeight="1">
      <c r="A42" s="182" t="s">
        <v>43</v>
      </c>
      <c r="B42" s="153" t="s">
        <v>177</v>
      </c>
      <c r="C42" s="135">
        <f>SUM(D42:F42)</f>
        <v>665000000</v>
      </c>
      <c r="D42" s="135"/>
      <c r="E42" s="135"/>
      <c r="F42" s="135">
        <f>'[1]Biểu số 02'!F45</f>
        <v>665000000</v>
      </c>
      <c r="G42" s="135">
        <f>'[1]Biểu số 02'!K45</f>
        <v>3380000</v>
      </c>
      <c r="H42" s="128">
        <f aca="true" t="shared" si="5" ref="H42:H51">G42/C42*100</f>
        <v>0.5082706766917293</v>
      </c>
      <c r="I42" s="129"/>
    </row>
    <row r="43" spans="1:9" s="191" customFormat="1" ht="15">
      <c r="A43" s="196" t="s">
        <v>178</v>
      </c>
      <c r="B43" s="154" t="s">
        <v>69</v>
      </c>
      <c r="C43" s="132">
        <f>SUM(D43:F43)</f>
        <v>8807000000</v>
      </c>
      <c r="D43" s="132"/>
      <c r="E43" s="132">
        <f>SUM(E44:E49)</f>
        <v>8807000000</v>
      </c>
      <c r="F43" s="132"/>
      <c r="G43" s="132"/>
      <c r="H43" s="128">
        <f t="shared" si="5"/>
        <v>0</v>
      </c>
      <c r="I43" s="129"/>
    </row>
    <row r="44" spans="1:9" ht="32.25" customHeight="1">
      <c r="A44" s="197" t="s">
        <v>32</v>
      </c>
      <c r="B44" s="195" t="s">
        <v>179</v>
      </c>
      <c r="C44" s="132">
        <f t="shared" si="4"/>
        <v>5880000000</v>
      </c>
      <c r="D44" s="135"/>
      <c r="E44" s="135">
        <f>'[1]Biểu số 02'!E47</f>
        <v>5880000000</v>
      </c>
      <c r="F44" s="135"/>
      <c r="G44" s="135"/>
      <c r="H44" s="128">
        <f t="shared" si="5"/>
        <v>0</v>
      </c>
      <c r="I44" s="129"/>
    </row>
    <row r="45" spans="1:9" ht="32.25" customHeight="1">
      <c r="A45" s="197" t="s">
        <v>32</v>
      </c>
      <c r="B45" s="195" t="s">
        <v>180</v>
      </c>
      <c r="C45" s="132">
        <f t="shared" si="4"/>
        <v>1620000000</v>
      </c>
      <c r="D45" s="135"/>
      <c r="E45" s="135">
        <f>'[1]Biểu số 02'!E63</f>
        <v>1620000000</v>
      </c>
      <c r="F45" s="135"/>
      <c r="G45" s="135"/>
      <c r="H45" s="128">
        <f t="shared" si="5"/>
        <v>0</v>
      </c>
      <c r="I45" s="129"/>
    </row>
    <row r="46" spans="1:9" ht="32.25" customHeight="1">
      <c r="A46" s="197" t="s">
        <v>32</v>
      </c>
      <c r="B46" s="153" t="s">
        <v>181</v>
      </c>
      <c r="C46" s="132">
        <f t="shared" si="4"/>
        <v>600000000</v>
      </c>
      <c r="D46" s="135"/>
      <c r="E46" s="135">
        <f>'[1]Biểu số 02'!E71</f>
        <v>600000000</v>
      </c>
      <c r="F46" s="135"/>
      <c r="G46" s="135"/>
      <c r="H46" s="128">
        <f t="shared" si="5"/>
        <v>0</v>
      </c>
      <c r="I46" s="129"/>
    </row>
    <row r="47" spans="1:9" ht="32.25" customHeight="1">
      <c r="A47" s="197" t="s">
        <v>32</v>
      </c>
      <c r="B47" s="153" t="s">
        <v>182</v>
      </c>
      <c r="C47" s="132">
        <f t="shared" si="4"/>
        <v>596000000</v>
      </c>
      <c r="D47" s="135"/>
      <c r="E47" s="135">
        <f>'[1]Biểu số 02'!E73</f>
        <v>596000000</v>
      </c>
      <c r="F47" s="135"/>
      <c r="G47" s="135"/>
      <c r="H47" s="128">
        <f t="shared" si="5"/>
        <v>0</v>
      </c>
      <c r="I47" s="129"/>
    </row>
    <row r="48" spans="1:9" ht="32.25" customHeight="1">
      <c r="A48" s="196" t="s">
        <v>183</v>
      </c>
      <c r="B48" s="153" t="s">
        <v>184</v>
      </c>
      <c r="C48" s="132">
        <f t="shared" si="4"/>
        <v>32000000</v>
      </c>
      <c r="D48" s="135"/>
      <c r="E48" s="135">
        <f>'[1]Biểu số 02'!E75</f>
        <v>32000000</v>
      </c>
      <c r="F48" s="135"/>
      <c r="G48" s="135"/>
      <c r="H48" s="128">
        <f t="shared" si="5"/>
        <v>0</v>
      </c>
      <c r="I48" s="129"/>
    </row>
    <row r="49" spans="1:9" ht="32.25" customHeight="1">
      <c r="A49" s="196" t="s">
        <v>185</v>
      </c>
      <c r="B49" s="153" t="s">
        <v>186</v>
      </c>
      <c r="C49" s="132">
        <f t="shared" si="4"/>
        <v>79000000</v>
      </c>
      <c r="D49" s="135"/>
      <c r="E49" s="135">
        <f>'[1]Biểu số 02'!E77</f>
        <v>79000000</v>
      </c>
      <c r="F49" s="135"/>
      <c r="G49" s="135"/>
      <c r="H49" s="128">
        <f t="shared" si="5"/>
        <v>0</v>
      </c>
      <c r="I49" s="129"/>
    </row>
    <row r="50" spans="1:9" s="191" customFormat="1" ht="27.75" customHeight="1">
      <c r="A50" s="130">
        <v>2</v>
      </c>
      <c r="B50" s="131" t="s">
        <v>54</v>
      </c>
      <c r="C50" s="132">
        <f>C51+C52</f>
        <v>60953719376</v>
      </c>
      <c r="D50" s="132">
        <f>D51+D52</f>
        <v>6388719376</v>
      </c>
      <c r="E50" s="132">
        <f>E51+E52</f>
        <v>45829000000</v>
      </c>
      <c r="F50" s="132">
        <f>F51+F52</f>
        <v>8736000000</v>
      </c>
      <c r="G50" s="132">
        <f>G51+G52</f>
        <v>2230000000</v>
      </c>
      <c r="H50" s="128">
        <f t="shared" si="5"/>
        <v>3.658513414487457</v>
      </c>
      <c r="I50" s="129"/>
    </row>
    <row r="51" spans="1:9" ht="28.5" customHeight="1">
      <c r="A51" s="133" t="s">
        <v>89</v>
      </c>
      <c r="B51" s="134" t="s">
        <v>28</v>
      </c>
      <c r="C51" s="135">
        <f t="shared" si="4"/>
        <v>52217719376</v>
      </c>
      <c r="D51" s="135">
        <v>6388719376</v>
      </c>
      <c r="E51" s="135">
        <v>45829000000</v>
      </c>
      <c r="F51" s="135"/>
      <c r="G51" s="135">
        <f>1706000000+524000000</f>
        <v>2230000000</v>
      </c>
      <c r="H51" s="128">
        <f t="shared" si="5"/>
        <v>4.270580995586221</v>
      </c>
      <c r="I51" s="129"/>
    </row>
    <row r="52" spans="1:9" ht="30.75" customHeight="1">
      <c r="A52" s="133" t="s">
        <v>90</v>
      </c>
      <c r="B52" s="134" t="s">
        <v>44</v>
      </c>
      <c r="C52" s="132">
        <f>C53+C60+C63+C67+C68+C69+C72+C73+C85+C87</f>
        <v>8736000000</v>
      </c>
      <c r="D52" s="132">
        <f>D53+D60+D63+D67+D68+D69+D72+D73+D85+D87</f>
        <v>0</v>
      </c>
      <c r="E52" s="132"/>
      <c r="F52" s="132">
        <f>F53+F60+F63+F67+F68+F69+F72+F73+F85+F87</f>
        <v>8736000000</v>
      </c>
      <c r="G52" s="132">
        <f>G53+G60+G63+G67+G68+G69+G72+G73+G85+G87</f>
        <v>0</v>
      </c>
      <c r="H52" s="128">
        <f aca="true" t="shared" si="6" ref="H52:H99">G52/C52*100</f>
        <v>0</v>
      </c>
      <c r="I52" s="129"/>
    </row>
    <row r="53" spans="1:9" ht="25.5">
      <c r="A53" s="130" t="s">
        <v>43</v>
      </c>
      <c r="B53" s="155" t="s">
        <v>187</v>
      </c>
      <c r="C53" s="132">
        <f t="shared" si="4"/>
        <v>1309000000</v>
      </c>
      <c r="D53" s="135"/>
      <c r="E53" s="135"/>
      <c r="F53" s="135">
        <f>'[1]Biểu số 02'!F81</f>
        <v>1309000000</v>
      </c>
      <c r="G53" s="135"/>
      <c r="H53" s="128">
        <f t="shared" si="6"/>
        <v>0</v>
      </c>
      <c r="I53" s="129"/>
    </row>
    <row r="54" spans="1:9" ht="15.75" hidden="1">
      <c r="A54" s="198">
        <v>1</v>
      </c>
      <c r="B54" s="199" t="s">
        <v>188</v>
      </c>
      <c r="C54" s="132">
        <f t="shared" si="4"/>
        <v>0</v>
      </c>
      <c r="D54" s="135"/>
      <c r="E54" s="135"/>
      <c r="F54" s="135"/>
      <c r="G54" s="135"/>
      <c r="H54" s="128" t="e">
        <f t="shared" si="6"/>
        <v>#DIV/0!</v>
      </c>
      <c r="I54" s="129"/>
    </row>
    <row r="55" spans="1:9" ht="15.75" hidden="1">
      <c r="A55" s="198">
        <v>2</v>
      </c>
      <c r="B55" s="183" t="s">
        <v>189</v>
      </c>
      <c r="C55" s="132">
        <f t="shared" si="4"/>
        <v>0</v>
      </c>
      <c r="D55" s="135"/>
      <c r="E55" s="135"/>
      <c r="F55" s="135"/>
      <c r="G55" s="135"/>
      <c r="H55" s="128" t="e">
        <f t="shared" si="6"/>
        <v>#DIV/0!</v>
      </c>
      <c r="I55" s="129"/>
    </row>
    <row r="56" spans="1:9" ht="15.75" hidden="1">
      <c r="A56" s="198">
        <v>3</v>
      </c>
      <c r="B56" s="183" t="s">
        <v>190</v>
      </c>
      <c r="C56" s="132">
        <f t="shared" si="4"/>
        <v>0</v>
      </c>
      <c r="D56" s="135"/>
      <c r="E56" s="135"/>
      <c r="F56" s="135"/>
      <c r="G56" s="135"/>
      <c r="H56" s="128" t="e">
        <f t="shared" si="6"/>
        <v>#DIV/0!</v>
      </c>
      <c r="I56" s="129"/>
    </row>
    <row r="57" spans="1:9" ht="15.75" hidden="1">
      <c r="A57" s="198">
        <v>4</v>
      </c>
      <c r="B57" s="183" t="s">
        <v>191</v>
      </c>
      <c r="C57" s="132">
        <f t="shared" si="4"/>
        <v>0</v>
      </c>
      <c r="D57" s="135"/>
      <c r="E57" s="135"/>
      <c r="F57" s="135"/>
      <c r="G57" s="135"/>
      <c r="H57" s="128" t="e">
        <f t="shared" si="6"/>
        <v>#DIV/0!</v>
      </c>
      <c r="I57" s="129"/>
    </row>
    <row r="58" spans="1:9" ht="15.75" hidden="1">
      <c r="A58" s="198">
        <v>5</v>
      </c>
      <c r="B58" s="183" t="s">
        <v>192</v>
      </c>
      <c r="C58" s="132">
        <f t="shared" si="4"/>
        <v>0</v>
      </c>
      <c r="D58" s="135"/>
      <c r="E58" s="135"/>
      <c r="F58" s="135"/>
      <c r="G58" s="135"/>
      <c r="H58" s="128" t="e">
        <f t="shared" si="6"/>
        <v>#DIV/0!</v>
      </c>
      <c r="I58" s="129"/>
    </row>
    <row r="59" spans="1:9" ht="15.75" hidden="1">
      <c r="A59" s="198">
        <v>6</v>
      </c>
      <c r="B59" s="183" t="s">
        <v>193</v>
      </c>
      <c r="C59" s="132">
        <f t="shared" si="4"/>
        <v>0</v>
      </c>
      <c r="D59" s="135"/>
      <c r="E59" s="135"/>
      <c r="F59" s="135"/>
      <c r="G59" s="135"/>
      <c r="H59" s="128" t="e">
        <f t="shared" si="6"/>
        <v>#DIV/0!</v>
      </c>
      <c r="I59" s="129"/>
    </row>
    <row r="60" spans="1:9" ht="14.25">
      <c r="A60" s="200" t="s">
        <v>43</v>
      </c>
      <c r="B60" s="156" t="s">
        <v>82</v>
      </c>
      <c r="C60" s="132">
        <f t="shared" si="4"/>
        <v>1007000000</v>
      </c>
      <c r="D60" s="135"/>
      <c r="E60" s="135"/>
      <c r="F60" s="135">
        <f>'[1]Biểu số 02'!F88</f>
        <v>1007000000</v>
      </c>
      <c r="G60" s="135"/>
      <c r="H60" s="128">
        <f t="shared" si="6"/>
        <v>0</v>
      </c>
      <c r="I60" s="129"/>
    </row>
    <row r="61" spans="1:9" ht="63" hidden="1">
      <c r="A61" s="200" t="s">
        <v>43</v>
      </c>
      <c r="B61" s="201" t="s">
        <v>194</v>
      </c>
      <c r="C61" s="132">
        <f t="shared" si="4"/>
        <v>0</v>
      </c>
      <c r="D61" s="135"/>
      <c r="E61" s="135"/>
      <c r="F61" s="135"/>
      <c r="G61" s="135"/>
      <c r="H61" s="128" t="e">
        <f t="shared" si="6"/>
        <v>#DIV/0!</v>
      </c>
      <c r="I61" s="129"/>
    </row>
    <row r="62" spans="1:9" ht="30.75" customHeight="1" hidden="1">
      <c r="A62" s="200" t="s">
        <v>43</v>
      </c>
      <c r="B62" s="201" t="s">
        <v>195</v>
      </c>
      <c r="C62" s="132">
        <f t="shared" si="4"/>
        <v>0</v>
      </c>
      <c r="D62" s="135"/>
      <c r="E62" s="135"/>
      <c r="F62" s="135"/>
      <c r="G62" s="135"/>
      <c r="H62" s="128" t="e">
        <f t="shared" si="6"/>
        <v>#DIV/0!</v>
      </c>
      <c r="I62" s="129"/>
    </row>
    <row r="63" spans="1:9" ht="30.75" customHeight="1">
      <c r="A63" s="200" t="s">
        <v>43</v>
      </c>
      <c r="B63" s="156" t="s">
        <v>83</v>
      </c>
      <c r="C63" s="132">
        <f t="shared" si="4"/>
        <v>250000000</v>
      </c>
      <c r="D63" s="135"/>
      <c r="E63" s="135"/>
      <c r="F63" s="135">
        <f>'[1]Biểu số 02'!F91</f>
        <v>250000000</v>
      </c>
      <c r="G63" s="135"/>
      <c r="H63" s="128">
        <f t="shared" si="6"/>
        <v>0</v>
      </c>
      <c r="I63" s="129"/>
    </row>
    <row r="64" spans="1:9" ht="30.75" customHeight="1" hidden="1">
      <c r="A64" s="200" t="s">
        <v>43</v>
      </c>
      <c r="B64" s="202" t="s">
        <v>196</v>
      </c>
      <c r="C64" s="132">
        <f t="shared" si="4"/>
        <v>0</v>
      </c>
      <c r="D64" s="135"/>
      <c r="E64" s="135"/>
      <c r="F64" s="135"/>
      <c r="G64" s="135"/>
      <c r="H64" s="128" t="e">
        <f t="shared" si="6"/>
        <v>#DIV/0!</v>
      </c>
      <c r="I64" s="129"/>
    </row>
    <row r="65" spans="1:9" ht="30.75" customHeight="1" hidden="1">
      <c r="A65" s="200" t="s">
        <v>43</v>
      </c>
      <c r="B65" s="202" t="s">
        <v>197</v>
      </c>
      <c r="C65" s="132">
        <f t="shared" si="4"/>
        <v>0</v>
      </c>
      <c r="D65" s="135"/>
      <c r="E65" s="135"/>
      <c r="F65" s="135"/>
      <c r="G65" s="135"/>
      <c r="H65" s="128" t="e">
        <f t="shared" si="6"/>
        <v>#DIV/0!</v>
      </c>
      <c r="I65" s="129"/>
    </row>
    <row r="66" spans="1:9" ht="30.75" customHeight="1" hidden="1">
      <c r="A66" s="200" t="s">
        <v>43</v>
      </c>
      <c r="B66" s="202" t="s">
        <v>198</v>
      </c>
      <c r="C66" s="132">
        <f t="shared" si="4"/>
        <v>0</v>
      </c>
      <c r="D66" s="135"/>
      <c r="E66" s="135"/>
      <c r="F66" s="135"/>
      <c r="G66" s="135"/>
      <c r="H66" s="128" t="e">
        <f t="shared" si="6"/>
        <v>#DIV/0!</v>
      </c>
      <c r="I66" s="129"/>
    </row>
    <row r="67" spans="1:9" ht="30.75" customHeight="1">
      <c r="A67" s="200" t="s">
        <v>43</v>
      </c>
      <c r="B67" s="156" t="s">
        <v>199</v>
      </c>
      <c r="C67" s="132">
        <f t="shared" si="4"/>
        <v>100000000</v>
      </c>
      <c r="D67" s="135"/>
      <c r="E67" s="135"/>
      <c r="F67" s="135">
        <f>'[1]Biểu số 02'!F95</f>
        <v>100000000</v>
      </c>
      <c r="G67" s="135"/>
      <c r="H67" s="128">
        <f t="shared" si="6"/>
        <v>0</v>
      </c>
      <c r="I67" s="129"/>
    </row>
    <row r="68" spans="1:9" ht="30.75" customHeight="1">
      <c r="A68" s="200" t="s">
        <v>43</v>
      </c>
      <c r="B68" s="156" t="s">
        <v>200</v>
      </c>
      <c r="C68" s="132">
        <f t="shared" si="4"/>
        <v>130000000</v>
      </c>
      <c r="D68" s="135"/>
      <c r="E68" s="135"/>
      <c r="F68" s="135">
        <f>'[1]Biểu số 02'!F96</f>
        <v>130000000</v>
      </c>
      <c r="G68" s="135"/>
      <c r="H68" s="128">
        <f t="shared" si="6"/>
        <v>0</v>
      </c>
      <c r="I68" s="129"/>
    </row>
    <row r="69" spans="1:9" ht="30.75" customHeight="1">
      <c r="A69" s="200" t="s">
        <v>43</v>
      </c>
      <c r="B69" s="156" t="s">
        <v>201</v>
      </c>
      <c r="C69" s="132">
        <f t="shared" si="4"/>
        <v>2000000000</v>
      </c>
      <c r="D69" s="135"/>
      <c r="E69" s="135"/>
      <c r="F69" s="135">
        <f>'[1]Biểu số 02'!F97</f>
        <v>2000000000</v>
      </c>
      <c r="G69" s="135"/>
      <c r="H69" s="128">
        <f t="shared" si="6"/>
        <v>0</v>
      </c>
      <c r="I69" s="129"/>
    </row>
    <row r="70" spans="1:9" ht="30.75" customHeight="1" hidden="1">
      <c r="A70" s="200" t="s">
        <v>43</v>
      </c>
      <c r="B70" s="203" t="s">
        <v>202</v>
      </c>
      <c r="C70" s="132">
        <f t="shared" si="4"/>
        <v>0</v>
      </c>
      <c r="D70" s="135"/>
      <c r="E70" s="135"/>
      <c r="F70" s="135"/>
      <c r="G70" s="135"/>
      <c r="H70" s="128" t="e">
        <f t="shared" si="6"/>
        <v>#DIV/0!</v>
      </c>
      <c r="I70" s="129"/>
    </row>
    <row r="71" spans="1:9" ht="30.75" customHeight="1" hidden="1">
      <c r="A71" s="200" t="s">
        <v>43</v>
      </c>
      <c r="B71" s="203" t="s">
        <v>203</v>
      </c>
      <c r="C71" s="132">
        <f t="shared" si="4"/>
        <v>0</v>
      </c>
      <c r="D71" s="135"/>
      <c r="E71" s="135"/>
      <c r="F71" s="135"/>
      <c r="G71" s="135"/>
      <c r="H71" s="128" t="e">
        <f t="shared" si="6"/>
        <v>#DIV/0!</v>
      </c>
      <c r="I71" s="129"/>
    </row>
    <row r="72" spans="1:9" ht="30.75" customHeight="1">
      <c r="A72" s="200" t="s">
        <v>43</v>
      </c>
      <c r="B72" s="156" t="s">
        <v>204</v>
      </c>
      <c r="C72" s="132">
        <f t="shared" si="4"/>
        <v>500000000</v>
      </c>
      <c r="D72" s="135"/>
      <c r="E72" s="135"/>
      <c r="F72" s="135">
        <f>'[1]Biểu số 02'!F100</f>
        <v>500000000</v>
      </c>
      <c r="G72" s="135"/>
      <c r="H72" s="128">
        <f t="shared" si="6"/>
        <v>0</v>
      </c>
      <c r="I72" s="129"/>
    </row>
    <row r="73" spans="1:9" ht="30.75" customHeight="1">
      <c r="A73" s="200" t="s">
        <v>43</v>
      </c>
      <c r="B73" s="156" t="s">
        <v>205</v>
      </c>
      <c r="C73" s="132">
        <f t="shared" si="4"/>
        <v>2200000000</v>
      </c>
      <c r="D73" s="135"/>
      <c r="E73" s="135"/>
      <c r="F73" s="135">
        <f>'[1]Biểu số 02'!F101</f>
        <v>2200000000</v>
      </c>
      <c r="G73" s="135"/>
      <c r="H73" s="128">
        <f t="shared" si="6"/>
        <v>0</v>
      </c>
      <c r="I73" s="129"/>
    </row>
    <row r="74" spans="1:9" ht="30.75" customHeight="1" hidden="1">
      <c r="A74" s="200" t="s">
        <v>43</v>
      </c>
      <c r="B74" s="204" t="s">
        <v>192</v>
      </c>
      <c r="C74" s="132">
        <f t="shared" si="4"/>
        <v>0</v>
      </c>
      <c r="D74" s="135"/>
      <c r="E74" s="135"/>
      <c r="F74" s="135"/>
      <c r="G74" s="135"/>
      <c r="H74" s="128" t="e">
        <f t="shared" si="6"/>
        <v>#DIV/0!</v>
      </c>
      <c r="I74" s="129"/>
    </row>
    <row r="75" spans="1:9" ht="30.75" customHeight="1" hidden="1">
      <c r="A75" s="200" t="s">
        <v>43</v>
      </c>
      <c r="B75" s="205" t="s">
        <v>191</v>
      </c>
      <c r="C75" s="132">
        <f t="shared" si="4"/>
        <v>0</v>
      </c>
      <c r="D75" s="135"/>
      <c r="E75" s="135"/>
      <c r="F75" s="135"/>
      <c r="G75" s="135"/>
      <c r="H75" s="128" t="e">
        <f t="shared" si="6"/>
        <v>#DIV/0!</v>
      </c>
      <c r="I75" s="129"/>
    </row>
    <row r="76" spans="1:9" ht="30.75" customHeight="1" hidden="1">
      <c r="A76" s="200" t="s">
        <v>43</v>
      </c>
      <c r="B76" s="205" t="s">
        <v>190</v>
      </c>
      <c r="C76" s="132">
        <f t="shared" si="4"/>
        <v>0</v>
      </c>
      <c r="D76" s="135"/>
      <c r="E76" s="135"/>
      <c r="F76" s="135"/>
      <c r="G76" s="135"/>
      <c r="H76" s="128" t="e">
        <f t="shared" si="6"/>
        <v>#DIV/0!</v>
      </c>
      <c r="I76" s="129"/>
    </row>
    <row r="77" spans="1:9" ht="30.75" customHeight="1" hidden="1">
      <c r="A77" s="200" t="s">
        <v>43</v>
      </c>
      <c r="B77" s="204" t="s">
        <v>206</v>
      </c>
      <c r="C77" s="132">
        <f t="shared" si="4"/>
        <v>0</v>
      </c>
      <c r="D77" s="135"/>
      <c r="E77" s="135"/>
      <c r="F77" s="135"/>
      <c r="G77" s="135"/>
      <c r="H77" s="128" t="e">
        <f t="shared" si="6"/>
        <v>#DIV/0!</v>
      </c>
      <c r="I77" s="129"/>
    </row>
    <row r="78" spans="1:9" ht="30.75" customHeight="1" hidden="1">
      <c r="A78" s="200" t="s">
        <v>43</v>
      </c>
      <c r="B78" s="205" t="s">
        <v>207</v>
      </c>
      <c r="C78" s="132">
        <f t="shared" si="4"/>
        <v>0</v>
      </c>
      <c r="D78" s="135"/>
      <c r="E78" s="135"/>
      <c r="F78" s="135"/>
      <c r="G78" s="135"/>
      <c r="H78" s="128" t="e">
        <f t="shared" si="6"/>
        <v>#DIV/0!</v>
      </c>
      <c r="I78" s="129"/>
    </row>
    <row r="79" spans="1:9" ht="30.75" customHeight="1" hidden="1">
      <c r="A79" s="200" t="s">
        <v>43</v>
      </c>
      <c r="B79" s="205" t="s">
        <v>188</v>
      </c>
      <c r="C79" s="132">
        <f t="shared" si="4"/>
        <v>0</v>
      </c>
      <c r="D79" s="135"/>
      <c r="E79" s="135"/>
      <c r="F79" s="135"/>
      <c r="G79" s="135"/>
      <c r="H79" s="128" t="e">
        <f t="shared" si="6"/>
        <v>#DIV/0!</v>
      </c>
      <c r="I79" s="129"/>
    </row>
    <row r="80" spans="1:9" ht="30.75" customHeight="1" hidden="1">
      <c r="A80" s="200" t="s">
        <v>43</v>
      </c>
      <c r="B80" s="205" t="s">
        <v>208</v>
      </c>
      <c r="C80" s="132">
        <f t="shared" si="4"/>
        <v>0</v>
      </c>
      <c r="D80" s="135"/>
      <c r="E80" s="135"/>
      <c r="F80" s="135"/>
      <c r="G80" s="135"/>
      <c r="H80" s="128" t="e">
        <f t="shared" si="6"/>
        <v>#DIV/0!</v>
      </c>
      <c r="I80" s="129"/>
    </row>
    <row r="81" spans="1:9" ht="30.75" customHeight="1" hidden="1">
      <c r="A81" s="200" t="s">
        <v>43</v>
      </c>
      <c r="B81" s="205" t="s">
        <v>209</v>
      </c>
      <c r="C81" s="132">
        <f t="shared" si="4"/>
        <v>0</v>
      </c>
      <c r="D81" s="135"/>
      <c r="E81" s="135"/>
      <c r="F81" s="135"/>
      <c r="G81" s="135"/>
      <c r="H81" s="128" t="e">
        <f t="shared" si="6"/>
        <v>#DIV/0!</v>
      </c>
      <c r="I81" s="129"/>
    </row>
    <row r="82" spans="1:9" ht="30.75" customHeight="1" hidden="1">
      <c r="A82" s="200" t="s">
        <v>43</v>
      </c>
      <c r="B82" s="204" t="s">
        <v>210</v>
      </c>
      <c r="C82" s="132">
        <f t="shared" si="4"/>
        <v>0</v>
      </c>
      <c r="D82" s="135"/>
      <c r="E82" s="135"/>
      <c r="F82" s="135"/>
      <c r="G82" s="135"/>
      <c r="H82" s="128" t="e">
        <f t="shared" si="6"/>
        <v>#DIV/0!</v>
      </c>
      <c r="I82" s="129"/>
    </row>
    <row r="83" spans="1:9" ht="30.75" customHeight="1" hidden="1">
      <c r="A83" s="200" t="s">
        <v>43</v>
      </c>
      <c r="B83" s="205" t="s">
        <v>211</v>
      </c>
      <c r="C83" s="132">
        <f t="shared" si="4"/>
        <v>0</v>
      </c>
      <c r="D83" s="135"/>
      <c r="E83" s="135"/>
      <c r="F83" s="135"/>
      <c r="G83" s="135"/>
      <c r="H83" s="128" t="e">
        <f t="shared" si="6"/>
        <v>#DIV/0!</v>
      </c>
      <c r="I83" s="129"/>
    </row>
    <row r="84" spans="1:9" ht="30.75" customHeight="1" hidden="1">
      <c r="A84" s="200" t="s">
        <v>43</v>
      </c>
      <c r="B84" s="205" t="s">
        <v>212</v>
      </c>
      <c r="C84" s="132">
        <f t="shared" si="4"/>
        <v>0</v>
      </c>
      <c r="D84" s="135"/>
      <c r="E84" s="135"/>
      <c r="F84" s="135"/>
      <c r="G84" s="135"/>
      <c r="H84" s="128" t="e">
        <f t="shared" si="6"/>
        <v>#DIV/0!</v>
      </c>
      <c r="I84" s="129"/>
    </row>
    <row r="85" spans="1:9" ht="25.5">
      <c r="A85" s="200" t="s">
        <v>43</v>
      </c>
      <c r="B85" s="156" t="s">
        <v>213</v>
      </c>
      <c r="C85" s="132">
        <f t="shared" si="4"/>
        <v>100000000</v>
      </c>
      <c r="D85" s="135"/>
      <c r="E85" s="135"/>
      <c r="F85" s="135">
        <f>'[1]Biểu số 02'!F113</f>
        <v>100000000</v>
      </c>
      <c r="G85" s="135"/>
      <c r="H85" s="128">
        <f t="shared" si="6"/>
        <v>0</v>
      </c>
      <c r="I85" s="129"/>
    </row>
    <row r="86" spans="1:9" ht="30.75" customHeight="1" hidden="1">
      <c r="A86" s="200" t="s">
        <v>43</v>
      </c>
      <c r="B86" s="203" t="s">
        <v>214</v>
      </c>
      <c r="C86" s="132">
        <f t="shared" si="4"/>
        <v>0</v>
      </c>
      <c r="D86" s="135"/>
      <c r="E86" s="135"/>
      <c r="F86" s="135"/>
      <c r="G86" s="135"/>
      <c r="H86" s="128" t="e">
        <f t="shared" si="6"/>
        <v>#DIV/0!</v>
      </c>
      <c r="I86" s="129"/>
    </row>
    <row r="87" spans="1:9" ht="25.5">
      <c r="A87" s="200" t="s">
        <v>43</v>
      </c>
      <c r="B87" s="156" t="s">
        <v>215</v>
      </c>
      <c r="C87" s="132">
        <f t="shared" si="4"/>
        <v>1140000000</v>
      </c>
      <c r="D87" s="135"/>
      <c r="E87" s="135"/>
      <c r="F87" s="135">
        <f>'[1]Biểu số 02'!F115</f>
        <v>1140000000</v>
      </c>
      <c r="G87" s="135"/>
      <c r="H87" s="128">
        <f t="shared" si="6"/>
        <v>0</v>
      </c>
      <c r="I87" s="129"/>
    </row>
    <row r="88" spans="1:9" ht="30.75" customHeight="1" hidden="1">
      <c r="A88" s="198">
        <v>1</v>
      </c>
      <c r="B88" s="206" t="s">
        <v>216</v>
      </c>
      <c r="C88" s="132">
        <f t="shared" si="4"/>
        <v>100000000</v>
      </c>
      <c r="D88" s="135"/>
      <c r="E88" s="135">
        <f>'[1]Biểu số 02'!F116</f>
        <v>100000000</v>
      </c>
      <c r="F88" s="135"/>
      <c r="G88" s="135"/>
      <c r="H88" s="128">
        <f t="shared" si="6"/>
        <v>0</v>
      </c>
      <c r="I88" s="129"/>
    </row>
    <row r="89" spans="1:9" ht="30.75" customHeight="1" hidden="1">
      <c r="A89" s="198">
        <v>2</v>
      </c>
      <c r="B89" s="206" t="s">
        <v>217</v>
      </c>
      <c r="C89" s="132">
        <f t="shared" si="4"/>
        <v>100000000</v>
      </c>
      <c r="D89" s="135"/>
      <c r="E89" s="135">
        <f>'[1]Biểu số 02'!F117</f>
        <v>100000000</v>
      </c>
      <c r="F89" s="135"/>
      <c r="G89" s="135"/>
      <c r="H89" s="128">
        <f t="shared" si="6"/>
        <v>0</v>
      </c>
      <c r="I89" s="129"/>
    </row>
    <row r="90" spans="1:9" ht="30.75" customHeight="1" hidden="1">
      <c r="A90" s="198">
        <v>3</v>
      </c>
      <c r="B90" s="206" t="s">
        <v>218</v>
      </c>
      <c r="C90" s="132">
        <f t="shared" si="4"/>
        <v>100000000</v>
      </c>
      <c r="D90" s="135"/>
      <c r="E90" s="135">
        <f>'[1]Biểu số 02'!F118</f>
        <v>100000000</v>
      </c>
      <c r="F90" s="135"/>
      <c r="G90" s="135"/>
      <c r="H90" s="128">
        <f t="shared" si="6"/>
        <v>0</v>
      </c>
      <c r="I90" s="129"/>
    </row>
    <row r="91" spans="1:9" ht="30.75" customHeight="1" hidden="1">
      <c r="A91" s="198">
        <v>4</v>
      </c>
      <c r="B91" s="206" t="s">
        <v>219</v>
      </c>
      <c r="C91" s="132">
        <f t="shared" si="4"/>
        <v>100000000</v>
      </c>
      <c r="D91" s="135"/>
      <c r="E91" s="135">
        <f>'[1]Biểu số 02'!F119</f>
        <v>100000000</v>
      </c>
      <c r="F91" s="135"/>
      <c r="G91" s="135"/>
      <c r="H91" s="128">
        <f t="shared" si="6"/>
        <v>0</v>
      </c>
      <c r="I91" s="129"/>
    </row>
    <row r="92" spans="1:9" ht="15" hidden="1">
      <c r="A92" s="198">
        <v>5</v>
      </c>
      <c r="B92" s="206" t="s">
        <v>220</v>
      </c>
      <c r="C92" s="132">
        <f t="shared" si="4"/>
        <v>60000000</v>
      </c>
      <c r="D92" s="135"/>
      <c r="E92" s="135">
        <f>'[1]Biểu số 02'!F120</f>
        <v>60000000</v>
      </c>
      <c r="F92" s="135"/>
      <c r="G92" s="135"/>
      <c r="H92" s="128">
        <f t="shared" si="6"/>
        <v>0</v>
      </c>
      <c r="I92" s="129"/>
    </row>
    <row r="93" spans="1:9" ht="15" hidden="1">
      <c r="A93" s="198">
        <v>6</v>
      </c>
      <c r="B93" s="206" t="s">
        <v>221</v>
      </c>
      <c r="C93" s="132">
        <f t="shared" si="4"/>
        <v>70000000</v>
      </c>
      <c r="D93" s="135"/>
      <c r="E93" s="135">
        <f>'[1]Biểu số 02'!F121</f>
        <v>70000000</v>
      </c>
      <c r="F93" s="135"/>
      <c r="G93" s="135"/>
      <c r="H93" s="128">
        <f t="shared" si="6"/>
        <v>0</v>
      </c>
      <c r="I93" s="129"/>
    </row>
    <row r="94" spans="1:9" ht="15" hidden="1">
      <c r="A94" s="198">
        <v>7</v>
      </c>
      <c r="B94" s="206" t="s">
        <v>222</v>
      </c>
      <c r="C94" s="132">
        <f t="shared" si="4"/>
        <v>150000000</v>
      </c>
      <c r="D94" s="135"/>
      <c r="E94" s="135">
        <f>'[1]Biểu số 02'!F122</f>
        <v>150000000</v>
      </c>
      <c r="F94" s="135"/>
      <c r="G94" s="135"/>
      <c r="H94" s="128">
        <f t="shared" si="6"/>
        <v>0</v>
      </c>
      <c r="I94" s="129"/>
    </row>
    <row r="95" spans="1:9" ht="15" hidden="1">
      <c r="A95" s="198">
        <v>8</v>
      </c>
      <c r="B95" s="206" t="s">
        <v>223</v>
      </c>
      <c r="C95" s="132">
        <f>SUM(D95:F95)</f>
        <v>100000000</v>
      </c>
      <c r="D95" s="135"/>
      <c r="E95" s="135">
        <f>'[1]Biểu số 02'!F123</f>
        <v>100000000</v>
      </c>
      <c r="F95" s="135"/>
      <c r="G95" s="135"/>
      <c r="H95" s="128">
        <f t="shared" si="6"/>
        <v>0</v>
      </c>
      <c r="I95" s="129"/>
    </row>
    <row r="96" spans="1:9" ht="15" hidden="1">
      <c r="A96" s="198">
        <v>9</v>
      </c>
      <c r="B96" s="206" t="s">
        <v>224</v>
      </c>
      <c r="C96" s="135">
        <f t="shared" si="4"/>
        <v>100000000</v>
      </c>
      <c r="D96" s="135"/>
      <c r="E96" s="135">
        <f>'[1]Biểu số 02'!F124</f>
        <v>100000000</v>
      </c>
      <c r="F96" s="135"/>
      <c r="G96" s="135"/>
      <c r="H96" s="128">
        <f t="shared" si="6"/>
        <v>0</v>
      </c>
      <c r="I96" s="129"/>
    </row>
    <row r="97" spans="1:9" ht="15" hidden="1">
      <c r="A97" s="198">
        <v>10</v>
      </c>
      <c r="B97" s="206" t="s">
        <v>225</v>
      </c>
      <c r="C97" s="135">
        <f t="shared" si="4"/>
        <v>100000000</v>
      </c>
      <c r="D97" s="135"/>
      <c r="E97" s="135">
        <f>'[1]Biểu số 02'!F125</f>
        <v>100000000</v>
      </c>
      <c r="F97" s="135"/>
      <c r="G97" s="135"/>
      <c r="H97" s="128">
        <f t="shared" si="6"/>
        <v>0</v>
      </c>
      <c r="I97" s="129"/>
    </row>
    <row r="98" spans="1:9" ht="15" hidden="1">
      <c r="A98" s="198">
        <v>11</v>
      </c>
      <c r="B98" s="206" t="s">
        <v>188</v>
      </c>
      <c r="C98" s="135">
        <f t="shared" si="4"/>
        <v>100000000</v>
      </c>
      <c r="D98" s="135"/>
      <c r="E98" s="135">
        <f>'[1]Biểu số 02'!F126</f>
        <v>100000000</v>
      </c>
      <c r="F98" s="135"/>
      <c r="G98" s="135"/>
      <c r="H98" s="128">
        <f t="shared" si="6"/>
        <v>0</v>
      </c>
      <c r="I98" s="129"/>
    </row>
    <row r="99" spans="1:9" ht="15" hidden="1">
      <c r="A99" s="198">
        <v>12</v>
      </c>
      <c r="B99" s="206" t="s">
        <v>226</v>
      </c>
      <c r="C99" s="135">
        <f t="shared" si="4"/>
        <v>60000000</v>
      </c>
      <c r="D99" s="135"/>
      <c r="E99" s="135">
        <f>'[1]Biểu số 02'!F127</f>
        <v>60000000</v>
      </c>
      <c r="F99" s="135"/>
      <c r="G99" s="135"/>
      <c r="H99" s="128">
        <f t="shared" si="6"/>
        <v>0</v>
      </c>
      <c r="I99" s="129"/>
    </row>
    <row r="100" spans="1:9" ht="14.25" hidden="1">
      <c r="A100" s="133"/>
      <c r="B100" s="156"/>
      <c r="C100" s="135">
        <f t="shared" si="4"/>
        <v>0</v>
      </c>
      <c r="D100" s="135"/>
      <c r="E100" s="135"/>
      <c r="F100" s="135"/>
      <c r="G100" s="135"/>
      <c r="H100" s="180"/>
      <c r="I100" s="138"/>
    </row>
    <row r="101" spans="1:9" ht="29.25" customHeight="1">
      <c r="A101" s="130" t="s">
        <v>5</v>
      </c>
      <c r="B101" s="131" t="s">
        <v>31</v>
      </c>
      <c r="C101" s="132">
        <f>C102+C107</f>
        <v>21876111000</v>
      </c>
      <c r="D101" s="132">
        <f>D102+D107</f>
        <v>18858249000</v>
      </c>
      <c r="E101" s="132">
        <f>E102+E107</f>
        <v>1459000000</v>
      </c>
      <c r="F101" s="132">
        <f>F102+F107</f>
        <v>1558862000</v>
      </c>
      <c r="G101" s="132">
        <f>G102+G107</f>
        <v>1029034059</v>
      </c>
      <c r="H101" s="128">
        <f>G101/C101*100</f>
        <v>4.703916793071675</v>
      </c>
      <c r="I101" s="129"/>
    </row>
    <row r="102" spans="1:9" s="191" customFormat="1" ht="21" customHeight="1">
      <c r="A102" s="207" t="s">
        <v>27</v>
      </c>
      <c r="B102" s="131" t="s">
        <v>28</v>
      </c>
      <c r="C102" s="132">
        <f>SUM(C103:C106)</f>
        <v>18858249000</v>
      </c>
      <c r="D102" s="132">
        <f>SUM(D103:D106)</f>
        <v>18858249000</v>
      </c>
      <c r="E102" s="132">
        <f>SUM(E103:E106)</f>
        <v>0</v>
      </c>
      <c r="F102" s="132">
        <f>SUM(F103:F106)</f>
        <v>0</v>
      </c>
      <c r="G102" s="132">
        <f>SUM(G103:G106)</f>
        <v>524000000</v>
      </c>
      <c r="H102" s="128">
        <f>G102/C102*100</f>
        <v>2.7786248871780197</v>
      </c>
      <c r="I102" s="129"/>
    </row>
    <row r="103" spans="1:9" ht="21" customHeight="1">
      <c r="A103" s="208" t="s">
        <v>43</v>
      </c>
      <c r="B103" s="184" t="s">
        <v>227</v>
      </c>
      <c r="C103" s="135">
        <f>D103+E103+F103</f>
        <v>16285000000</v>
      </c>
      <c r="D103" s="135">
        <f>700000000+15585000000</f>
        <v>16285000000</v>
      </c>
      <c r="E103" s="135"/>
      <c r="F103" s="158"/>
      <c r="G103" s="209"/>
      <c r="H103" s="128">
        <f>G103/C103*100</f>
        <v>0</v>
      </c>
      <c r="I103" s="129"/>
    </row>
    <row r="104" spans="1:9" ht="27.75" customHeight="1">
      <c r="A104" s="208" t="s">
        <v>43</v>
      </c>
      <c r="B104" s="185" t="s">
        <v>228</v>
      </c>
      <c r="C104" s="135">
        <f>D104+E104+F104</f>
        <v>2508000000</v>
      </c>
      <c r="D104" s="157">
        <v>2508000000</v>
      </c>
      <c r="E104" s="157"/>
      <c r="F104" s="159"/>
      <c r="G104" s="209">
        <v>524000000</v>
      </c>
      <c r="H104" s="128">
        <f>G104/C104*100</f>
        <v>20.893141945773525</v>
      </c>
      <c r="I104" s="129"/>
    </row>
    <row r="105" spans="1:9" ht="33" customHeight="1">
      <c r="A105" s="208" t="s">
        <v>43</v>
      </c>
      <c r="B105" s="185" t="s">
        <v>229</v>
      </c>
      <c r="C105" s="135">
        <f>D105+E105+F105</f>
        <v>65249000</v>
      </c>
      <c r="D105" s="157">
        <v>65249000</v>
      </c>
      <c r="E105" s="157"/>
      <c r="F105" s="159"/>
      <c r="G105" s="209"/>
      <c r="H105" s="128">
        <f>G105/C105*100</f>
        <v>0</v>
      </c>
      <c r="I105" s="129"/>
    </row>
    <row r="106" spans="1:9" ht="21" customHeight="1" hidden="1">
      <c r="A106" s="208"/>
      <c r="B106" s="186"/>
      <c r="C106" s="157"/>
      <c r="D106" s="157"/>
      <c r="E106" s="157"/>
      <c r="F106" s="159"/>
      <c r="G106" s="209"/>
      <c r="H106" s="128"/>
      <c r="I106" s="129"/>
    </row>
    <row r="107" spans="1:9" s="191" customFormat="1" ht="21" customHeight="1">
      <c r="A107" s="207" t="s">
        <v>30</v>
      </c>
      <c r="B107" s="131" t="s">
        <v>29</v>
      </c>
      <c r="C107" s="160">
        <f>SUM(C108:C117)</f>
        <v>3017862000</v>
      </c>
      <c r="D107" s="160">
        <f>SUM(D108:D117)</f>
        <v>0</v>
      </c>
      <c r="E107" s="160">
        <f>SUM(E108:E117)</f>
        <v>1459000000</v>
      </c>
      <c r="F107" s="160">
        <f>SUM(F108:F117)</f>
        <v>1558862000</v>
      </c>
      <c r="G107" s="160">
        <f>SUM(G108:G117)</f>
        <v>505034059</v>
      </c>
      <c r="H107" s="128">
        <f>G107/C107*100</f>
        <v>16.73482945873602</v>
      </c>
      <c r="I107" s="129"/>
    </row>
    <row r="108" spans="1:10" ht="46.5" customHeight="1">
      <c r="A108" s="210" t="s">
        <v>32</v>
      </c>
      <c r="B108" s="153" t="s">
        <v>230</v>
      </c>
      <c r="C108" s="161">
        <f>SUM(D108:F108)</f>
        <v>80000000</v>
      </c>
      <c r="D108" s="162"/>
      <c r="E108" s="162">
        <v>80000000</v>
      </c>
      <c r="F108" s="162"/>
      <c r="G108" s="162"/>
      <c r="H108" s="128">
        <f>G108/C108*100</f>
        <v>0</v>
      </c>
      <c r="I108" s="129"/>
      <c r="J108" s="170" t="s">
        <v>231</v>
      </c>
    </row>
    <row r="109" spans="1:10" ht="45.75" customHeight="1">
      <c r="A109" s="210" t="s">
        <v>32</v>
      </c>
      <c r="B109" s="149" t="s">
        <v>232</v>
      </c>
      <c r="C109" s="161">
        <f>SUM(D109:F109)</f>
        <v>1309000000</v>
      </c>
      <c r="D109" s="162"/>
      <c r="E109" s="162">
        <v>1309000000</v>
      </c>
      <c r="F109" s="162"/>
      <c r="G109" s="163">
        <f>'[1]Biểu số 02'!K132</f>
        <v>11157059</v>
      </c>
      <c r="H109" s="128">
        <f>G109/C109*100</f>
        <v>0.8523345301757067</v>
      </c>
      <c r="I109" s="129"/>
      <c r="J109" s="170" t="s">
        <v>233</v>
      </c>
    </row>
    <row r="110" spans="1:10" ht="25.5">
      <c r="A110" s="211" t="s">
        <v>32</v>
      </c>
      <c r="B110" s="164" t="s">
        <v>234</v>
      </c>
      <c r="C110" s="165">
        <f aca="true" t="shared" si="7" ref="C110:C116">SUM(D110:F110)</f>
        <v>70000000</v>
      </c>
      <c r="D110" s="163"/>
      <c r="E110" s="163">
        <v>70000000</v>
      </c>
      <c r="F110" s="212"/>
      <c r="G110" s="213"/>
      <c r="H110" s="128">
        <f aca="true" t="shared" si="8" ref="H110:H116">G110/C110*100</f>
        <v>0</v>
      </c>
      <c r="I110" s="129"/>
      <c r="J110" s="170" t="s">
        <v>235</v>
      </c>
    </row>
    <row r="111" spans="1:10" s="214" customFormat="1" ht="25.5">
      <c r="A111" s="211" t="s">
        <v>32</v>
      </c>
      <c r="B111" s="164" t="s">
        <v>236</v>
      </c>
      <c r="C111" s="165">
        <f t="shared" si="7"/>
        <v>500000000</v>
      </c>
      <c r="D111" s="166"/>
      <c r="E111" s="166"/>
      <c r="F111" s="187">
        <v>500000000</v>
      </c>
      <c r="G111" s="187"/>
      <c r="H111" s="128">
        <f t="shared" si="8"/>
        <v>0</v>
      </c>
      <c r="I111" s="129"/>
      <c r="J111" s="214" t="s">
        <v>237</v>
      </c>
    </row>
    <row r="112" spans="1:9" s="214" customFormat="1" ht="25.5">
      <c r="A112" s="211" t="s">
        <v>32</v>
      </c>
      <c r="B112" s="164" t="s">
        <v>238</v>
      </c>
      <c r="C112" s="165">
        <f t="shared" si="7"/>
        <v>96000000</v>
      </c>
      <c r="D112" s="141"/>
      <c r="E112" s="166"/>
      <c r="F112" s="187">
        <v>96000000</v>
      </c>
      <c r="G112" s="187">
        <f>F112</f>
        <v>96000000</v>
      </c>
      <c r="H112" s="128">
        <f t="shared" si="8"/>
        <v>100</v>
      </c>
      <c r="I112" s="129"/>
    </row>
    <row r="113" spans="1:10" s="214" customFormat="1" ht="25.5">
      <c r="A113" s="211" t="s">
        <v>32</v>
      </c>
      <c r="B113" s="164" t="s">
        <v>239</v>
      </c>
      <c r="C113" s="165">
        <f t="shared" si="7"/>
        <v>34300000</v>
      </c>
      <c r="D113" s="141"/>
      <c r="E113" s="166"/>
      <c r="F113" s="215">
        <v>34300000</v>
      </c>
      <c r="G113" s="187">
        <v>34285000</v>
      </c>
      <c r="H113" s="128">
        <f t="shared" si="8"/>
        <v>99.95626822157433</v>
      </c>
      <c r="I113" s="129"/>
      <c r="J113" s="214" t="s">
        <v>174</v>
      </c>
    </row>
    <row r="114" spans="1:9" s="214" customFormat="1" ht="25.5">
      <c r="A114" s="211" t="s">
        <v>32</v>
      </c>
      <c r="B114" s="164" t="s">
        <v>240</v>
      </c>
      <c r="C114" s="165">
        <f t="shared" si="7"/>
        <v>363592000</v>
      </c>
      <c r="D114" s="141"/>
      <c r="E114" s="166"/>
      <c r="F114" s="216">
        <v>363592000</v>
      </c>
      <c r="G114" s="187">
        <f>F114</f>
        <v>363592000</v>
      </c>
      <c r="H114" s="128">
        <f t="shared" si="8"/>
        <v>100</v>
      </c>
      <c r="I114" s="129"/>
    </row>
    <row r="115" spans="1:10" s="214" customFormat="1" ht="51">
      <c r="A115" s="211" t="s">
        <v>32</v>
      </c>
      <c r="B115" s="164" t="s">
        <v>241</v>
      </c>
      <c r="C115" s="165">
        <f t="shared" si="7"/>
        <v>358870000</v>
      </c>
      <c r="D115" s="166"/>
      <c r="E115" s="166"/>
      <c r="F115" s="188">
        <v>358870000</v>
      </c>
      <c r="G115" s="187"/>
      <c r="H115" s="128">
        <f t="shared" si="8"/>
        <v>0</v>
      </c>
      <c r="I115" s="129"/>
      <c r="J115" s="214" t="s">
        <v>242</v>
      </c>
    </row>
    <row r="116" spans="1:10" ht="51">
      <c r="A116" s="211" t="s">
        <v>32</v>
      </c>
      <c r="B116" s="217" t="s">
        <v>243</v>
      </c>
      <c r="C116" s="218">
        <f t="shared" si="7"/>
        <v>206100000</v>
      </c>
      <c r="D116" s="219"/>
      <c r="E116" s="219"/>
      <c r="F116" s="220">
        <v>206100000</v>
      </c>
      <c r="G116" s="221"/>
      <c r="H116" s="128">
        <f t="shared" si="8"/>
        <v>0</v>
      </c>
      <c r="I116" s="129"/>
      <c r="J116" s="170" t="s">
        <v>244</v>
      </c>
    </row>
    <row r="117" spans="1:9" ht="14.25">
      <c r="A117" s="222"/>
      <c r="B117" s="223"/>
      <c r="C117" s="224"/>
      <c r="D117" s="225"/>
      <c r="E117" s="225"/>
      <c r="F117" s="226"/>
      <c r="G117" s="227"/>
      <c r="H117" s="189"/>
      <c r="I117" s="190"/>
    </row>
    <row r="118" spans="1:9" ht="14.25">
      <c r="A118" s="228"/>
      <c r="B118" s="229"/>
      <c r="C118" s="228"/>
      <c r="D118" s="228"/>
      <c r="E118" s="228"/>
      <c r="F118" s="228"/>
      <c r="G118" s="228"/>
      <c r="H118" s="228"/>
      <c r="I118" s="230"/>
    </row>
    <row r="120" ht="14.25">
      <c r="D120" s="231">
        <v>31764014429</v>
      </c>
    </row>
    <row r="121" ht="14.25">
      <c r="D121" s="231"/>
    </row>
    <row r="122" ht="14.25">
      <c r="D122" s="231">
        <v>15585000000</v>
      </c>
    </row>
    <row r="124" spans="3:4" ht="14.25">
      <c r="C124" s="170" t="s">
        <v>245</v>
      </c>
      <c r="D124" s="232">
        <f>D120+D121+D122</f>
        <v>47349014429</v>
      </c>
    </row>
    <row r="125" ht="14.25">
      <c r="D125" s="231"/>
    </row>
    <row r="126" spans="3:4" ht="14.25">
      <c r="C126" s="170" t="s">
        <v>246</v>
      </c>
      <c r="D126" s="170">
        <v>10046915027</v>
      </c>
    </row>
    <row r="128" ht="14.25">
      <c r="D128" s="232">
        <f>D124+D126</f>
        <v>57395929456</v>
      </c>
    </row>
  </sheetData>
  <sheetProtection/>
  <mergeCells count="10">
    <mergeCell ref="E1:H1"/>
    <mergeCell ref="C5:D7"/>
    <mergeCell ref="E5:F7"/>
    <mergeCell ref="A2:H2"/>
    <mergeCell ref="A3:H3"/>
    <mergeCell ref="E4:H4"/>
    <mergeCell ref="A5:A7"/>
    <mergeCell ref="B5:B7"/>
    <mergeCell ref="G5:G7"/>
    <mergeCell ref="H5:H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8"/>
  <sheetViews>
    <sheetView zoomScalePageLayoutView="0" workbookViewId="0" topLeftCell="A1">
      <selection activeCell="A1" sqref="A1:IV1"/>
    </sheetView>
  </sheetViews>
  <sheetFormatPr defaultColWidth="9.125" defaultRowHeight="14.25"/>
  <cols>
    <col min="1" max="1" width="6.125" style="170" customWidth="1"/>
    <col min="2" max="2" width="33.00390625" style="170" customWidth="1"/>
    <col min="3" max="3" width="16.375" style="170" hidden="1" customWidth="1"/>
    <col min="4" max="4" width="15.25390625" style="170" hidden="1" customWidth="1"/>
    <col min="5" max="5" width="17.125" style="170" customWidth="1"/>
    <col min="6" max="6" width="2.375" style="170" hidden="1" customWidth="1"/>
    <col min="7" max="7" width="17.50390625" style="170" customWidth="1"/>
    <col min="8" max="8" width="11.00390625" style="170" customWidth="1"/>
    <col min="9" max="9" width="28.375" style="170" hidden="1" customWidth="1"/>
    <col min="10" max="10" width="18.125" style="170" hidden="1" customWidth="1"/>
    <col min="11" max="11" width="17.875" style="170" hidden="1" customWidth="1"/>
    <col min="12" max="12" width="19.625" style="170" hidden="1" customWidth="1"/>
    <col min="13" max="13" width="17.00390625" style="170" hidden="1" customWidth="1"/>
    <col min="14" max="19" width="9.125" style="170" hidden="1" customWidth="1"/>
    <col min="20" max="20" width="2.375" style="170" customWidth="1"/>
    <col min="21" max="23" width="9.125" style="170" customWidth="1"/>
    <col min="24" max="16384" width="9.125" style="170" customWidth="1"/>
  </cols>
  <sheetData>
    <row r="1" spans="1:9" s="63" customFormat="1" ht="27" customHeight="1">
      <c r="A1" s="30" t="s">
        <v>56</v>
      </c>
      <c r="B1" s="31"/>
      <c r="C1" s="31"/>
      <c r="D1" s="31"/>
      <c r="E1" s="385" t="s">
        <v>101</v>
      </c>
      <c r="F1" s="385"/>
      <c r="G1" s="385"/>
      <c r="H1" s="385"/>
      <c r="I1" s="167"/>
    </row>
    <row r="2" spans="1:9" s="63" customFormat="1" ht="39" customHeight="1">
      <c r="A2" s="386" t="s">
        <v>252</v>
      </c>
      <c r="B2" s="386"/>
      <c r="C2" s="386"/>
      <c r="D2" s="386"/>
      <c r="E2" s="386"/>
      <c r="F2" s="386"/>
      <c r="G2" s="386"/>
      <c r="H2" s="386"/>
      <c r="I2" s="167"/>
    </row>
    <row r="3" spans="1:9" s="63" customFormat="1" ht="45" customHeight="1">
      <c r="A3" s="408" t="s">
        <v>255</v>
      </c>
      <c r="B3" s="408"/>
      <c r="C3" s="408"/>
      <c r="D3" s="408"/>
      <c r="E3" s="408"/>
      <c r="F3" s="408"/>
      <c r="G3" s="408"/>
      <c r="H3" s="408"/>
      <c r="I3" s="168"/>
    </row>
    <row r="4" spans="1:11" ht="19.5" customHeight="1">
      <c r="A4" s="117"/>
      <c r="B4" s="117"/>
      <c r="C4" s="117"/>
      <c r="D4" s="117"/>
      <c r="E4" s="409" t="s">
        <v>154</v>
      </c>
      <c r="F4" s="409"/>
      <c r="G4" s="409"/>
      <c r="H4" s="409"/>
      <c r="I4" s="118"/>
      <c r="K4" s="192">
        <f>G11+G35+G51+G102</f>
        <v>15747104000</v>
      </c>
    </row>
    <row r="5" spans="1:11" s="116" customFormat="1" ht="24.75" customHeight="1">
      <c r="A5" s="410" t="s">
        <v>0</v>
      </c>
      <c r="B5" s="410" t="s">
        <v>6</v>
      </c>
      <c r="C5" s="402" t="s">
        <v>248</v>
      </c>
      <c r="D5" s="403"/>
      <c r="E5" s="389" t="s">
        <v>248</v>
      </c>
      <c r="F5" s="390"/>
      <c r="G5" s="398" t="s">
        <v>254</v>
      </c>
      <c r="H5" s="395" t="s">
        <v>113</v>
      </c>
      <c r="I5" s="120"/>
      <c r="K5" s="121">
        <v>421648000000</v>
      </c>
    </row>
    <row r="6" spans="1:11" s="116" customFormat="1" ht="29.25" customHeight="1">
      <c r="A6" s="410"/>
      <c r="B6" s="410"/>
      <c r="C6" s="404"/>
      <c r="D6" s="405"/>
      <c r="E6" s="391"/>
      <c r="F6" s="392"/>
      <c r="G6" s="399"/>
      <c r="H6" s="396"/>
      <c r="I6" s="120"/>
      <c r="K6" s="119" t="s">
        <v>155</v>
      </c>
    </row>
    <row r="7" spans="1:13" s="116" customFormat="1" ht="37.5" customHeight="1">
      <c r="A7" s="410"/>
      <c r="B7" s="410"/>
      <c r="C7" s="406"/>
      <c r="D7" s="407"/>
      <c r="E7" s="393"/>
      <c r="F7" s="394"/>
      <c r="G7" s="400"/>
      <c r="H7" s="397"/>
      <c r="I7" s="120"/>
      <c r="K7" s="119">
        <f>L7+M7</f>
        <v>100918572617</v>
      </c>
      <c r="L7" s="122">
        <v>84183915352</v>
      </c>
      <c r="M7" s="122">
        <v>16734657265</v>
      </c>
    </row>
    <row r="8" spans="1:11" ht="14.25">
      <c r="A8" s="193" t="s">
        <v>7</v>
      </c>
      <c r="B8" s="193" t="s">
        <v>8</v>
      </c>
      <c r="C8" s="193">
        <v>1</v>
      </c>
      <c r="D8" s="193">
        <v>2</v>
      </c>
      <c r="E8" s="193">
        <v>3</v>
      </c>
      <c r="F8" s="193">
        <v>4</v>
      </c>
      <c r="G8" s="193">
        <v>5</v>
      </c>
      <c r="H8" s="193" t="s">
        <v>51</v>
      </c>
      <c r="I8" s="123"/>
      <c r="J8" s="170">
        <f>G9/E9*100</f>
        <v>17.732574930510758</v>
      </c>
      <c r="K8" s="124">
        <v>26149525074</v>
      </c>
    </row>
    <row r="9" spans="1:13" ht="20.25" customHeight="1">
      <c r="A9" s="125"/>
      <c r="B9" s="126" t="s">
        <v>9</v>
      </c>
      <c r="C9" s="127">
        <f>C10+C32</f>
        <v>572258791456</v>
      </c>
      <c r="D9" s="127">
        <f>D10+D32</f>
        <v>57395929456</v>
      </c>
      <c r="E9" s="127">
        <f>E10+E32</f>
        <v>421648000000</v>
      </c>
      <c r="F9" s="127">
        <f>F10+F32</f>
        <v>93214862000</v>
      </c>
      <c r="G9" s="127">
        <f>G10+G32</f>
        <v>74769047543</v>
      </c>
      <c r="H9" s="128">
        <f>G9/E9*100</f>
        <v>17.732574930510758</v>
      </c>
      <c r="I9" s="129" t="s">
        <v>156</v>
      </c>
      <c r="J9" s="192">
        <f>E9+F9</f>
        <v>514862862000</v>
      </c>
      <c r="K9" s="194">
        <f>K7-K8</f>
        <v>74769047543</v>
      </c>
      <c r="M9" s="192">
        <f>G9-K9</f>
        <v>0</v>
      </c>
    </row>
    <row r="10" spans="1:9" ht="14.25">
      <c r="A10" s="130" t="s">
        <v>7</v>
      </c>
      <c r="B10" s="131" t="s">
        <v>10</v>
      </c>
      <c r="C10" s="132">
        <f>C11+C16+C31</f>
        <v>366153782695</v>
      </c>
      <c r="D10" s="132">
        <f>D11+D16+D31</f>
        <v>6681782695</v>
      </c>
      <c r="E10" s="132">
        <f>E11+E16+E31</f>
        <v>359472000000</v>
      </c>
      <c r="F10" s="132">
        <f>F11+F16+F31</f>
        <v>0</v>
      </c>
      <c r="G10" s="132">
        <f>G11+G16+G31</f>
        <v>61593770484</v>
      </c>
      <c r="H10" s="128">
        <f aca="true" t="shared" si="0" ref="H10:H51">G10/E10*100</f>
        <v>17.13451130658299</v>
      </c>
      <c r="I10" s="129"/>
    </row>
    <row r="11" spans="1:11" ht="23.25" customHeight="1">
      <c r="A11" s="130" t="s">
        <v>3</v>
      </c>
      <c r="B11" s="131" t="s">
        <v>11</v>
      </c>
      <c r="C11" s="132">
        <f>SUM(C12:C14)</f>
        <v>23691707000</v>
      </c>
      <c r="D11" s="132">
        <f>SUM(D12:D14)</f>
        <v>2750000000</v>
      </c>
      <c r="E11" s="132">
        <f>SUM(E12:E14)</f>
        <v>20941707000</v>
      </c>
      <c r="F11" s="132"/>
      <c r="G11" s="132">
        <f>K11-G35-G51-G102</f>
        <v>3080241000</v>
      </c>
      <c r="H11" s="128">
        <f t="shared" si="0"/>
        <v>14.708643378498229</v>
      </c>
      <c r="I11" s="129">
        <f>G11+G35+G51+G102</f>
        <v>15747104000</v>
      </c>
      <c r="K11" s="132">
        <f>13621104000+2126000000</f>
        <v>15747104000</v>
      </c>
    </row>
    <row r="12" spans="1:9" ht="29.25" customHeight="1">
      <c r="A12" s="133">
        <v>1</v>
      </c>
      <c r="B12" s="134" t="s">
        <v>45</v>
      </c>
      <c r="C12" s="135">
        <f>SUM(D12:F12)</f>
        <v>10800000000</v>
      </c>
      <c r="D12" s="135"/>
      <c r="E12" s="135">
        <v>10800000000</v>
      </c>
      <c r="F12" s="135"/>
      <c r="G12" s="135">
        <v>607241000</v>
      </c>
      <c r="H12" s="128">
        <f t="shared" si="0"/>
        <v>5.622601851851852</v>
      </c>
      <c r="I12" s="129"/>
    </row>
    <row r="13" spans="1:10" ht="14.25">
      <c r="A13" s="133">
        <v>2</v>
      </c>
      <c r="B13" s="134" t="s">
        <v>47</v>
      </c>
      <c r="C13" s="135">
        <f>SUM(D13:F13)</f>
        <v>5653000000</v>
      </c>
      <c r="D13" s="135">
        <v>253000000</v>
      </c>
      <c r="E13" s="135">
        <f>2400000000+3000000000</f>
        <v>5400000000</v>
      </c>
      <c r="F13" s="135"/>
      <c r="G13" s="135">
        <v>500000000</v>
      </c>
      <c r="H13" s="128">
        <f t="shared" si="0"/>
        <v>9.25925925925926</v>
      </c>
      <c r="I13" s="129"/>
      <c r="J13" s="192">
        <f>G11-G12-G13</f>
        <v>1973000000</v>
      </c>
    </row>
    <row r="14" spans="1:14" ht="25.5">
      <c r="A14" s="133">
        <v>3</v>
      </c>
      <c r="B14" s="134" t="s">
        <v>157</v>
      </c>
      <c r="C14" s="135">
        <f>SUM(D14:F14)</f>
        <v>7238707000</v>
      </c>
      <c r="D14" s="135">
        <v>2497000000</v>
      </c>
      <c r="E14" s="136">
        <v>4741707000</v>
      </c>
      <c r="F14" s="135"/>
      <c r="G14" s="136">
        <v>1973000000</v>
      </c>
      <c r="H14" s="128">
        <f t="shared" si="0"/>
        <v>41.60948789117506</v>
      </c>
      <c r="I14" s="129"/>
      <c r="L14" s="192">
        <f>K11+K15</f>
        <v>74469047543</v>
      </c>
      <c r="M14" s="192">
        <f>K9-L14</f>
        <v>300000000</v>
      </c>
      <c r="N14" s="170" t="s">
        <v>158</v>
      </c>
    </row>
    <row r="15" spans="1:12" ht="15" hidden="1">
      <c r="A15" s="133"/>
      <c r="B15" s="134"/>
      <c r="C15" s="137"/>
      <c r="D15" s="135"/>
      <c r="E15" s="137"/>
      <c r="F15" s="135"/>
      <c r="G15" s="135"/>
      <c r="H15" s="128" t="e">
        <f t="shared" si="0"/>
        <v>#DIV/0!</v>
      </c>
      <c r="I15" s="138"/>
      <c r="K15" s="194">
        <f>K16+L16+M16</f>
        <v>58721943543</v>
      </c>
      <c r="L15" s="192">
        <f>K15+G35</f>
        <v>68634806543</v>
      </c>
    </row>
    <row r="16" spans="1:13" ht="27.75" customHeight="1">
      <c r="A16" s="130" t="s">
        <v>5</v>
      </c>
      <c r="B16" s="131" t="s">
        <v>4</v>
      </c>
      <c r="C16" s="139">
        <f>SUM(C17:C30)</f>
        <v>335149075695</v>
      </c>
      <c r="D16" s="139">
        <f>SUM(D17:D30)</f>
        <v>3931782695</v>
      </c>
      <c r="E16" s="139">
        <f>SUM(E17:E30)</f>
        <v>331217293000</v>
      </c>
      <c r="F16" s="139">
        <f>SUM(F17:F30)</f>
        <v>0</v>
      </c>
      <c r="G16" s="139">
        <f>SUM(G17:G30)</f>
        <v>58485979484</v>
      </c>
      <c r="H16" s="128">
        <f t="shared" si="0"/>
        <v>17.657888256456463</v>
      </c>
      <c r="I16" s="129">
        <f>G16+G31+G38+G52+G107</f>
        <v>59021943543</v>
      </c>
      <c r="J16" s="192">
        <f>+G31+G16+G38+G107-L16-M16-K16</f>
        <v>300000000</v>
      </c>
      <c r="K16" s="178">
        <v>43365417278</v>
      </c>
      <c r="L16" s="178">
        <v>14585722265</v>
      </c>
      <c r="M16" s="192">
        <f>747869000+22935000</f>
        <v>770804000</v>
      </c>
    </row>
    <row r="17" spans="1:12" ht="14.25">
      <c r="A17" s="133">
        <v>1</v>
      </c>
      <c r="B17" s="140" t="s">
        <v>12</v>
      </c>
      <c r="C17" s="135">
        <f>SUM(D17:F17)</f>
        <v>19737682470</v>
      </c>
      <c r="D17" s="141">
        <f>627749000+498193000+185600000+34300000+2009840470</f>
        <v>3355682470</v>
      </c>
      <c r="E17" s="135">
        <f>17691000000-E109</f>
        <v>16382000000</v>
      </c>
      <c r="F17" s="142"/>
      <c r="G17" s="143">
        <f>918967565+268697000-G109-G42-27550000-34285000+32669047</f>
        <v>1143961553</v>
      </c>
      <c r="H17" s="128">
        <f t="shared" si="0"/>
        <v>6.983039634965206</v>
      </c>
      <c r="I17" s="129"/>
      <c r="J17" s="192">
        <f>K9-G9</f>
        <v>0</v>
      </c>
      <c r="K17" s="135">
        <v>17691000</v>
      </c>
      <c r="L17" s="144" t="s">
        <v>159</v>
      </c>
    </row>
    <row r="18" spans="1:12" ht="14.25">
      <c r="A18" s="133">
        <v>2</v>
      </c>
      <c r="B18" s="140" t="s">
        <v>13</v>
      </c>
      <c r="C18" s="135">
        <f aca="true" t="shared" si="1" ref="C18:C30">SUM(D18:F18)</f>
        <v>186763905429</v>
      </c>
      <c r="D18" s="141">
        <v>12905429</v>
      </c>
      <c r="E18" s="135">
        <v>186751000000</v>
      </c>
      <c r="F18" s="142"/>
      <c r="G18" s="142">
        <v>33284356858</v>
      </c>
      <c r="H18" s="128">
        <f t="shared" si="0"/>
        <v>17.82285334911192</v>
      </c>
      <c r="I18" s="129"/>
      <c r="J18" s="192">
        <f>G16+G38++G52+G107</f>
        <v>58994393543</v>
      </c>
      <c r="K18" s="135">
        <v>400000</v>
      </c>
      <c r="L18" s="144" t="s">
        <v>160</v>
      </c>
    </row>
    <row r="19" spans="1:12" ht="14.25">
      <c r="A19" s="133">
        <v>3</v>
      </c>
      <c r="B19" s="140" t="s">
        <v>14</v>
      </c>
      <c r="C19" s="135">
        <f t="shared" si="1"/>
        <v>0</v>
      </c>
      <c r="D19" s="142"/>
      <c r="E19" s="135"/>
      <c r="F19" s="142"/>
      <c r="G19" s="142"/>
      <c r="H19" s="128"/>
      <c r="I19" s="145"/>
      <c r="K19" s="135">
        <v>99208970</v>
      </c>
      <c r="L19" s="144" t="s">
        <v>21</v>
      </c>
    </row>
    <row r="20" spans="1:12" ht="14.25">
      <c r="A20" s="133">
        <v>4</v>
      </c>
      <c r="B20" s="140" t="s">
        <v>161</v>
      </c>
      <c r="C20" s="135">
        <f t="shared" si="1"/>
        <v>0</v>
      </c>
      <c r="D20" s="142"/>
      <c r="E20" s="135"/>
      <c r="F20" s="142"/>
      <c r="G20" s="142"/>
      <c r="H20" s="128"/>
      <c r="I20" s="129"/>
      <c r="J20" s="192">
        <f>J18-K15</f>
        <v>272450000</v>
      </c>
      <c r="K20" s="135">
        <v>186751000</v>
      </c>
      <c r="L20" s="144" t="s">
        <v>162</v>
      </c>
    </row>
    <row r="21" spans="1:12" ht="14.25">
      <c r="A21" s="133">
        <v>5</v>
      </c>
      <c r="B21" s="140" t="s">
        <v>16</v>
      </c>
      <c r="C21" s="135">
        <f t="shared" si="1"/>
        <v>400000000</v>
      </c>
      <c r="D21" s="142"/>
      <c r="E21" s="135">
        <v>400000000</v>
      </c>
      <c r="F21" s="142"/>
      <c r="G21" s="142"/>
      <c r="H21" s="128">
        <f t="shared" si="0"/>
        <v>0</v>
      </c>
      <c r="I21" s="129"/>
      <c r="K21" s="135">
        <v>1831961</v>
      </c>
      <c r="L21" s="144" t="s">
        <v>163</v>
      </c>
    </row>
    <row r="22" spans="1:12" ht="14.25">
      <c r="A22" s="133">
        <v>6</v>
      </c>
      <c r="B22" s="140" t="s">
        <v>17</v>
      </c>
      <c r="C22" s="135">
        <f t="shared" si="1"/>
        <v>1831961000</v>
      </c>
      <c r="D22" s="142"/>
      <c r="E22" s="135">
        <v>1831961000</v>
      </c>
      <c r="F22" s="142"/>
      <c r="G22" s="142">
        <f>123344302+40209000</f>
        <v>163553302</v>
      </c>
      <c r="H22" s="128">
        <f t="shared" si="0"/>
        <v>8.927772043182141</v>
      </c>
      <c r="I22" s="129"/>
      <c r="K22" s="135">
        <v>190000</v>
      </c>
      <c r="L22" s="144" t="s">
        <v>164</v>
      </c>
    </row>
    <row r="23" spans="1:12" ht="14.25">
      <c r="A23" s="133">
        <v>7</v>
      </c>
      <c r="B23" s="140" t="s">
        <v>18</v>
      </c>
      <c r="C23" s="135">
        <f t="shared" si="1"/>
        <v>190000000</v>
      </c>
      <c r="D23" s="142"/>
      <c r="E23" s="135">
        <v>190000000</v>
      </c>
      <c r="F23" s="142"/>
      <c r="G23" s="142">
        <v>7710000</v>
      </c>
      <c r="H23" s="128">
        <f t="shared" si="0"/>
        <v>4.057894736842106</v>
      </c>
      <c r="I23" s="129"/>
      <c r="K23" s="135">
        <v>1234433</v>
      </c>
      <c r="L23" s="144" t="s">
        <v>165</v>
      </c>
    </row>
    <row r="24" spans="1:12" ht="14.25">
      <c r="A24" s="133">
        <v>8</v>
      </c>
      <c r="B24" s="140" t="s">
        <v>19</v>
      </c>
      <c r="C24" s="135">
        <f t="shared" si="1"/>
        <v>1234433000</v>
      </c>
      <c r="D24" s="142"/>
      <c r="E24" s="135">
        <v>1234433000</v>
      </c>
      <c r="F24" s="142"/>
      <c r="G24" s="142">
        <f>200663361+20079650</f>
        <v>220743011</v>
      </c>
      <c r="H24" s="128">
        <f t="shared" si="0"/>
        <v>17.882137872205295</v>
      </c>
      <c r="I24" s="129"/>
      <c r="K24" s="135">
        <v>13729653</v>
      </c>
      <c r="L24" s="144" t="s">
        <v>166</v>
      </c>
    </row>
    <row r="25" spans="1:12" ht="14.25">
      <c r="A25" s="133">
        <v>9</v>
      </c>
      <c r="B25" s="140" t="s">
        <v>20</v>
      </c>
      <c r="C25" s="135">
        <f t="shared" si="1"/>
        <v>13659653000</v>
      </c>
      <c r="D25" s="142"/>
      <c r="E25" s="135">
        <f>13729653000-E110</f>
        <v>13659653000</v>
      </c>
      <c r="F25" s="142"/>
      <c r="G25" s="142">
        <f>2128931500+248430675</f>
        <v>2377362175</v>
      </c>
      <c r="H25" s="128">
        <f t="shared" si="0"/>
        <v>17.404264771586803</v>
      </c>
      <c r="I25" s="129"/>
      <c r="K25" s="135">
        <v>3354801</v>
      </c>
      <c r="L25" s="144" t="s">
        <v>167</v>
      </c>
    </row>
    <row r="26" spans="1:12" ht="14.25">
      <c r="A26" s="133">
        <v>10</v>
      </c>
      <c r="B26" s="140" t="s">
        <v>21</v>
      </c>
      <c r="C26" s="135">
        <f t="shared" si="1"/>
        <v>99772164796</v>
      </c>
      <c r="D26" s="142">
        <f>39030000+524164796</f>
        <v>563194796</v>
      </c>
      <c r="E26" s="135">
        <v>99208970000</v>
      </c>
      <c r="F26" s="142"/>
      <c r="G26" s="142">
        <f>5676484645+12140190760-G112-G114</f>
        <v>17357083405</v>
      </c>
      <c r="H26" s="128">
        <f t="shared" si="0"/>
        <v>17.495477883703458</v>
      </c>
      <c r="I26" s="129"/>
      <c r="K26" s="135">
        <v>8284475</v>
      </c>
      <c r="L26" s="144" t="s">
        <v>168</v>
      </c>
    </row>
    <row r="27" spans="1:12" ht="14.25">
      <c r="A27" s="133">
        <v>11</v>
      </c>
      <c r="B27" s="146" t="s">
        <v>22</v>
      </c>
      <c r="C27" s="135">
        <f t="shared" si="1"/>
        <v>3274801000</v>
      </c>
      <c r="D27" s="142"/>
      <c r="E27" s="135">
        <f>3354801000-E108</f>
        <v>3274801000</v>
      </c>
      <c r="F27" s="142"/>
      <c r="G27" s="142">
        <v>814367022</v>
      </c>
      <c r="H27" s="128">
        <f t="shared" si="0"/>
        <v>24.867679654427857</v>
      </c>
      <c r="I27" s="129"/>
      <c r="K27" s="135"/>
      <c r="L27" s="144" t="s">
        <v>169</v>
      </c>
    </row>
    <row r="28" spans="1:12" ht="14.25">
      <c r="A28" s="133">
        <v>12</v>
      </c>
      <c r="B28" s="147" t="s">
        <v>23</v>
      </c>
      <c r="C28" s="135">
        <f t="shared" si="1"/>
        <v>8284475000</v>
      </c>
      <c r="D28" s="142"/>
      <c r="E28" s="135">
        <v>8284475000</v>
      </c>
      <c r="F28" s="142"/>
      <c r="G28" s="142">
        <f>900000000+1046038158</f>
        <v>1946038158</v>
      </c>
      <c r="H28" s="128">
        <f t="shared" si="0"/>
        <v>23.490180826183916</v>
      </c>
      <c r="I28" s="129"/>
      <c r="K28" s="135">
        <v>3000000</v>
      </c>
      <c r="L28" s="144" t="s">
        <v>170</v>
      </c>
    </row>
    <row r="29" spans="1:12" ht="14.25">
      <c r="A29" s="133">
        <v>13</v>
      </c>
      <c r="B29" s="147" t="s">
        <v>171</v>
      </c>
      <c r="C29" s="135">
        <f t="shared" si="1"/>
        <v>0</v>
      </c>
      <c r="D29" s="142"/>
      <c r="E29" s="135"/>
      <c r="F29" s="142"/>
      <c r="G29" s="142">
        <v>100000000</v>
      </c>
      <c r="H29" s="128"/>
      <c r="I29" s="129"/>
      <c r="K29" s="137"/>
      <c r="L29" s="148"/>
    </row>
    <row r="30" spans="1:9" ht="14.25">
      <c r="A30" s="133">
        <v>14</v>
      </c>
      <c r="B30" s="147" t="s">
        <v>172</v>
      </c>
      <c r="C30" s="135">
        <f t="shared" si="1"/>
        <v>0</v>
      </c>
      <c r="D30" s="142"/>
      <c r="E30" s="135"/>
      <c r="F30" s="142"/>
      <c r="G30" s="142">
        <f>747869000+22935000+300000000</f>
        <v>1070804000</v>
      </c>
      <c r="H30" s="128"/>
      <c r="I30" s="129"/>
    </row>
    <row r="31" spans="1:9" ht="24.75" customHeight="1">
      <c r="A31" s="130" t="s">
        <v>24</v>
      </c>
      <c r="B31" s="131" t="s">
        <v>25</v>
      </c>
      <c r="C31" s="132">
        <f>SUM(D31:F31)</f>
        <v>7313000000</v>
      </c>
      <c r="D31" s="132"/>
      <c r="E31" s="132">
        <v>7313000000</v>
      </c>
      <c r="F31" s="132"/>
      <c r="G31" s="132">
        <v>27550000</v>
      </c>
      <c r="H31" s="128">
        <f t="shared" si="0"/>
        <v>0.3767263776835772</v>
      </c>
      <c r="I31" s="129"/>
    </row>
    <row r="32" spans="1:9" ht="47.25" customHeight="1">
      <c r="A32" s="130" t="s">
        <v>8</v>
      </c>
      <c r="B32" s="131" t="s">
        <v>48</v>
      </c>
      <c r="C32" s="132">
        <f>C33+C101</f>
        <v>206105008761</v>
      </c>
      <c r="D32" s="132">
        <f>D33+D101</f>
        <v>50714146761</v>
      </c>
      <c r="E32" s="132">
        <f>E33+E101</f>
        <v>62176000000</v>
      </c>
      <c r="F32" s="132">
        <f>F33+F101</f>
        <v>93214862000</v>
      </c>
      <c r="G32" s="132">
        <f>G33+G101</f>
        <v>13175277059</v>
      </c>
      <c r="H32" s="128">
        <f t="shared" si="0"/>
        <v>21.19029377734174</v>
      </c>
      <c r="I32" s="129"/>
    </row>
    <row r="33" spans="1:20" ht="21.75" customHeight="1">
      <c r="A33" s="130" t="s">
        <v>3</v>
      </c>
      <c r="B33" s="131" t="s">
        <v>26</v>
      </c>
      <c r="C33" s="132">
        <f>C34+C50</f>
        <v>184228897761</v>
      </c>
      <c r="D33" s="132">
        <f>D34+D50</f>
        <v>31855897761</v>
      </c>
      <c r="E33" s="132">
        <f>E34+E50</f>
        <v>60717000000</v>
      </c>
      <c r="F33" s="132">
        <f>F34+F50</f>
        <v>91656000000</v>
      </c>
      <c r="G33" s="132">
        <f>G34+G50</f>
        <v>12146243000</v>
      </c>
      <c r="H33" s="128">
        <f t="shared" si="0"/>
        <v>20.004682378905414</v>
      </c>
      <c r="I33" s="129"/>
      <c r="J33" s="192">
        <f>E33+F33</f>
        <v>152373000000</v>
      </c>
      <c r="T33" s="178">
        <v>31855897761</v>
      </c>
    </row>
    <row r="34" spans="1:20" ht="21" customHeight="1">
      <c r="A34" s="133">
        <v>1</v>
      </c>
      <c r="B34" s="134" t="s">
        <v>53</v>
      </c>
      <c r="C34" s="132">
        <f>C35+C38</f>
        <v>123275178385</v>
      </c>
      <c r="D34" s="132">
        <f>D35+D38</f>
        <v>25467178385</v>
      </c>
      <c r="E34" s="132">
        <f>E35+E38</f>
        <v>14888000000</v>
      </c>
      <c r="F34" s="132">
        <f>F35+F38</f>
        <v>82920000000</v>
      </c>
      <c r="G34" s="132">
        <f>G35+G38</f>
        <v>9916243000</v>
      </c>
      <c r="H34" s="128">
        <f t="shared" si="0"/>
        <v>66.60560854379366</v>
      </c>
      <c r="I34" s="129"/>
      <c r="T34" s="178"/>
    </row>
    <row r="35" spans="1:20" ht="22.5" customHeight="1">
      <c r="A35" s="133" t="s">
        <v>27</v>
      </c>
      <c r="B35" s="134" t="s">
        <v>28</v>
      </c>
      <c r="C35" s="135">
        <f>C36+C37</f>
        <v>110454178385</v>
      </c>
      <c r="D35" s="135">
        <f>D36+D37</f>
        <v>25467178385</v>
      </c>
      <c r="E35" s="135">
        <f>E36+E37</f>
        <v>6081000000</v>
      </c>
      <c r="F35" s="135">
        <f>F36+F37</f>
        <v>78906000000</v>
      </c>
      <c r="G35" s="135">
        <f>G36+G37</f>
        <v>9912863000</v>
      </c>
      <c r="H35" s="128">
        <f t="shared" si="0"/>
        <v>163.01369840486763</v>
      </c>
      <c r="I35" s="129"/>
      <c r="T35" s="192">
        <f>G35+G50</f>
        <v>12142863000</v>
      </c>
    </row>
    <row r="36" spans="1:20" ht="22.5" customHeight="1">
      <c r="A36" s="133" t="s">
        <v>32</v>
      </c>
      <c r="B36" s="149" t="s">
        <v>70</v>
      </c>
      <c r="C36" s="135">
        <f>SUM(D36:F36)</f>
        <v>12303268385</v>
      </c>
      <c r="D36" s="135">
        <f>5098078000+1124190385</f>
        <v>6222268385</v>
      </c>
      <c r="E36" s="135">
        <v>6081000000</v>
      </c>
      <c r="F36" s="135"/>
      <c r="G36" s="135">
        <f>2737190000+420000000</f>
        <v>3157190000</v>
      </c>
      <c r="H36" s="128">
        <f t="shared" si="0"/>
        <v>51.91892780792633</v>
      </c>
      <c r="I36" s="129"/>
      <c r="T36" s="192">
        <f>E34+E50</f>
        <v>60717000000</v>
      </c>
    </row>
    <row r="37" spans="1:9" ht="22.5" customHeight="1">
      <c r="A37" s="133" t="s">
        <v>32</v>
      </c>
      <c r="B37" s="150" t="s">
        <v>69</v>
      </c>
      <c r="C37" s="135">
        <f>SUM(D37:F37)</f>
        <v>98150910000</v>
      </c>
      <c r="D37" s="135">
        <v>19244910000</v>
      </c>
      <c r="E37" s="135"/>
      <c r="F37" s="135">
        <v>78906000000</v>
      </c>
      <c r="G37" s="135">
        <v>6755673000</v>
      </c>
      <c r="H37" s="128"/>
      <c r="I37" s="129"/>
    </row>
    <row r="38" spans="1:9" ht="32.25" customHeight="1">
      <c r="A38" s="133" t="s">
        <v>30</v>
      </c>
      <c r="B38" s="134" t="s">
        <v>44</v>
      </c>
      <c r="C38" s="132">
        <f>C39+C43</f>
        <v>12821000000</v>
      </c>
      <c r="D38" s="132">
        <f>D39+D43</f>
        <v>0</v>
      </c>
      <c r="E38" s="132">
        <f>E39+E43</f>
        <v>8807000000</v>
      </c>
      <c r="F38" s="132">
        <f>F39+F43</f>
        <v>4014000000</v>
      </c>
      <c r="G38" s="132">
        <f>G39+G43</f>
        <v>3380000</v>
      </c>
      <c r="H38" s="128">
        <f t="shared" si="0"/>
        <v>0.03837856250709663</v>
      </c>
      <c r="I38" s="129"/>
    </row>
    <row r="39" spans="1:9" ht="32.25" customHeight="1">
      <c r="A39" s="151" t="s">
        <v>173</v>
      </c>
      <c r="B39" s="152" t="s">
        <v>70</v>
      </c>
      <c r="C39" s="132">
        <f>SUM(C40:C42)</f>
        <v>4014000000</v>
      </c>
      <c r="D39" s="132">
        <f>SUM(D40:D42)</f>
        <v>0</v>
      </c>
      <c r="E39" s="132">
        <f>SUM(E40:E42)</f>
        <v>0</v>
      </c>
      <c r="F39" s="132">
        <f>SUM(F40:F42)</f>
        <v>4014000000</v>
      </c>
      <c r="G39" s="132">
        <f>SUM(G40:G42)</f>
        <v>3380000</v>
      </c>
      <c r="H39" s="128"/>
      <c r="I39" s="129"/>
    </row>
    <row r="40" spans="1:9" ht="14.25">
      <c r="A40" s="182" t="s">
        <v>43</v>
      </c>
      <c r="B40" s="195" t="s">
        <v>175</v>
      </c>
      <c r="C40" s="135">
        <f>SUM(D40:F40)</f>
        <v>849000000</v>
      </c>
      <c r="D40" s="135"/>
      <c r="E40" s="135">
        <f>'[1]Biểu số 02'!E13</f>
        <v>0</v>
      </c>
      <c r="F40" s="135">
        <f>'[1]Biểu số 02'!F13</f>
        <v>849000000</v>
      </c>
      <c r="G40" s="135">
        <f>'[1]Biểu số 02'!K13</f>
        <v>0</v>
      </c>
      <c r="H40" s="128"/>
      <c r="I40" s="129"/>
    </row>
    <row r="41" spans="1:9" ht="32.25" customHeight="1">
      <c r="A41" s="182" t="s">
        <v>43</v>
      </c>
      <c r="B41" s="153" t="s">
        <v>176</v>
      </c>
      <c r="C41" s="135">
        <f aca="true" t="shared" si="2" ref="C41:C100">SUM(D41:F41)</f>
        <v>2500000000</v>
      </c>
      <c r="D41" s="135"/>
      <c r="E41" s="135"/>
      <c r="F41" s="135">
        <f>'[1]Biểu số 02'!F29</f>
        <v>2500000000</v>
      </c>
      <c r="G41" s="135">
        <f>'[1]Biểu số 02'!K29</f>
        <v>0</v>
      </c>
      <c r="H41" s="128"/>
      <c r="I41" s="129"/>
    </row>
    <row r="42" spans="1:9" ht="32.25" customHeight="1">
      <c r="A42" s="182" t="s">
        <v>43</v>
      </c>
      <c r="B42" s="153" t="s">
        <v>177</v>
      </c>
      <c r="C42" s="135">
        <f>SUM(D42:F42)</f>
        <v>665000000</v>
      </c>
      <c r="D42" s="135"/>
      <c r="E42" s="135"/>
      <c r="F42" s="135">
        <f>'[1]Biểu số 02'!F45</f>
        <v>665000000</v>
      </c>
      <c r="G42" s="135">
        <f>'[1]Biểu số 02'!K45</f>
        <v>3380000</v>
      </c>
      <c r="H42" s="128"/>
      <c r="I42" s="129"/>
    </row>
    <row r="43" spans="1:9" s="191" customFormat="1" ht="15">
      <c r="A43" s="196" t="s">
        <v>178</v>
      </c>
      <c r="B43" s="154" t="s">
        <v>69</v>
      </c>
      <c r="C43" s="132">
        <f>SUM(D43:F43)</f>
        <v>8807000000</v>
      </c>
      <c r="D43" s="132"/>
      <c r="E43" s="132">
        <f>SUM(E44:E49)</f>
        <v>8807000000</v>
      </c>
      <c r="F43" s="132"/>
      <c r="G43" s="132"/>
      <c r="H43" s="128">
        <f t="shared" si="0"/>
        <v>0</v>
      </c>
      <c r="I43" s="129"/>
    </row>
    <row r="44" spans="1:9" ht="32.25" customHeight="1">
      <c r="A44" s="197" t="s">
        <v>32</v>
      </c>
      <c r="B44" s="195" t="s">
        <v>179</v>
      </c>
      <c r="C44" s="132">
        <f t="shared" si="2"/>
        <v>5880000000</v>
      </c>
      <c r="D44" s="135"/>
      <c r="E44" s="135">
        <f>'[1]Biểu số 02'!E47</f>
        <v>5880000000</v>
      </c>
      <c r="F44" s="135"/>
      <c r="G44" s="135"/>
      <c r="H44" s="128">
        <f t="shared" si="0"/>
        <v>0</v>
      </c>
      <c r="I44" s="129"/>
    </row>
    <row r="45" spans="1:9" ht="32.25" customHeight="1">
      <c r="A45" s="197" t="s">
        <v>32</v>
      </c>
      <c r="B45" s="195" t="s">
        <v>180</v>
      </c>
      <c r="C45" s="132">
        <f t="shared" si="2"/>
        <v>1620000000</v>
      </c>
      <c r="D45" s="135"/>
      <c r="E45" s="135">
        <f>'[1]Biểu số 02'!E63</f>
        <v>1620000000</v>
      </c>
      <c r="F45" s="135"/>
      <c r="G45" s="135"/>
      <c r="H45" s="128">
        <f t="shared" si="0"/>
        <v>0</v>
      </c>
      <c r="I45" s="129"/>
    </row>
    <row r="46" spans="1:9" ht="32.25" customHeight="1">
      <c r="A46" s="197" t="s">
        <v>32</v>
      </c>
      <c r="B46" s="153" t="s">
        <v>181</v>
      </c>
      <c r="C46" s="132">
        <f t="shared" si="2"/>
        <v>600000000</v>
      </c>
      <c r="D46" s="135"/>
      <c r="E46" s="135">
        <f>'[1]Biểu số 02'!E71</f>
        <v>600000000</v>
      </c>
      <c r="F46" s="135"/>
      <c r="G46" s="135"/>
      <c r="H46" s="128">
        <f t="shared" si="0"/>
        <v>0</v>
      </c>
      <c r="I46" s="129"/>
    </row>
    <row r="47" spans="1:9" ht="32.25" customHeight="1">
      <c r="A47" s="197" t="s">
        <v>32</v>
      </c>
      <c r="B47" s="153" t="s">
        <v>182</v>
      </c>
      <c r="C47" s="132">
        <f t="shared" si="2"/>
        <v>596000000</v>
      </c>
      <c r="D47" s="135"/>
      <c r="E47" s="135">
        <f>'[1]Biểu số 02'!E73</f>
        <v>596000000</v>
      </c>
      <c r="F47" s="135"/>
      <c r="G47" s="135"/>
      <c r="H47" s="128">
        <f t="shared" si="0"/>
        <v>0</v>
      </c>
      <c r="I47" s="129"/>
    </row>
    <row r="48" spans="1:9" ht="32.25" customHeight="1">
      <c r="A48" s="196" t="s">
        <v>183</v>
      </c>
      <c r="B48" s="153" t="s">
        <v>184</v>
      </c>
      <c r="C48" s="132">
        <f t="shared" si="2"/>
        <v>32000000</v>
      </c>
      <c r="D48" s="135"/>
      <c r="E48" s="135">
        <f>'[1]Biểu số 02'!E75</f>
        <v>32000000</v>
      </c>
      <c r="F48" s="135"/>
      <c r="G48" s="135"/>
      <c r="H48" s="128">
        <f t="shared" si="0"/>
        <v>0</v>
      </c>
      <c r="I48" s="129"/>
    </row>
    <row r="49" spans="1:9" ht="32.25" customHeight="1">
      <c r="A49" s="196" t="s">
        <v>185</v>
      </c>
      <c r="B49" s="153" t="s">
        <v>186</v>
      </c>
      <c r="C49" s="132">
        <f t="shared" si="2"/>
        <v>79000000</v>
      </c>
      <c r="D49" s="135"/>
      <c r="E49" s="135">
        <f>'[1]Biểu số 02'!E77</f>
        <v>79000000</v>
      </c>
      <c r="F49" s="135"/>
      <c r="G49" s="135"/>
      <c r="H49" s="128">
        <f t="shared" si="0"/>
        <v>0</v>
      </c>
      <c r="I49" s="129"/>
    </row>
    <row r="50" spans="1:9" s="191" customFormat="1" ht="27.75" customHeight="1">
      <c r="A50" s="130">
        <v>2</v>
      </c>
      <c r="B50" s="131" t="s">
        <v>54</v>
      </c>
      <c r="C50" s="132">
        <f>C51+C52</f>
        <v>60953719376</v>
      </c>
      <c r="D50" s="132">
        <f>D51+D52</f>
        <v>6388719376</v>
      </c>
      <c r="E50" s="132">
        <f>E51+E52</f>
        <v>45829000000</v>
      </c>
      <c r="F50" s="132">
        <f>F51+F52</f>
        <v>8736000000</v>
      </c>
      <c r="G50" s="132">
        <f>G51+G52</f>
        <v>2230000000</v>
      </c>
      <c r="H50" s="128">
        <f t="shared" si="0"/>
        <v>4.865914595561762</v>
      </c>
      <c r="I50" s="129"/>
    </row>
    <row r="51" spans="1:9" ht="28.5" customHeight="1">
      <c r="A51" s="133" t="s">
        <v>89</v>
      </c>
      <c r="B51" s="134" t="s">
        <v>28</v>
      </c>
      <c r="C51" s="135">
        <f t="shared" si="2"/>
        <v>52217719376</v>
      </c>
      <c r="D51" s="135">
        <v>6388719376</v>
      </c>
      <c r="E51" s="135">
        <v>45829000000</v>
      </c>
      <c r="F51" s="135"/>
      <c r="G51" s="135">
        <f>1706000000+524000000</f>
        <v>2230000000</v>
      </c>
      <c r="H51" s="128">
        <f t="shared" si="0"/>
        <v>4.865914595561762</v>
      </c>
      <c r="I51" s="129"/>
    </row>
    <row r="52" spans="1:9" ht="30.75" customHeight="1">
      <c r="A52" s="133" t="s">
        <v>90</v>
      </c>
      <c r="B52" s="134" t="s">
        <v>44</v>
      </c>
      <c r="C52" s="132">
        <f>C53+C60+C63+C67+C68+C69+C72+C73+C85+C87</f>
        <v>8736000000</v>
      </c>
      <c r="D52" s="132">
        <f>D53+D60+D63+D67+D68+D69+D72+D73+D85+D87</f>
        <v>0</v>
      </c>
      <c r="E52" s="132"/>
      <c r="F52" s="132">
        <f>F53+F60+F63+F67+F68+F69+F72+F73+F85+F87</f>
        <v>8736000000</v>
      </c>
      <c r="G52" s="132">
        <f>G53+G60+G63+G67+G68+G69+G72+G73+G85+G87</f>
        <v>0</v>
      </c>
      <c r="H52" s="128"/>
      <c r="I52" s="129"/>
    </row>
    <row r="53" spans="1:9" ht="25.5">
      <c r="A53" s="130" t="s">
        <v>43</v>
      </c>
      <c r="B53" s="155" t="s">
        <v>187</v>
      </c>
      <c r="C53" s="132">
        <f t="shared" si="2"/>
        <v>1309000000</v>
      </c>
      <c r="D53" s="135"/>
      <c r="E53" s="135"/>
      <c r="F53" s="135">
        <f>'[1]Biểu số 02'!F81</f>
        <v>1309000000</v>
      </c>
      <c r="G53" s="135"/>
      <c r="H53" s="128"/>
      <c r="I53" s="129"/>
    </row>
    <row r="54" spans="1:9" ht="15.75" hidden="1">
      <c r="A54" s="198">
        <v>1</v>
      </c>
      <c r="B54" s="199" t="s">
        <v>188</v>
      </c>
      <c r="C54" s="132">
        <f t="shared" si="2"/>
        <v>0</v>
      </c>
      <c r="D54" s="135"/>
      <c r="E54" s="135"/>
      <c r="F54" s="135"/>
      <c r="G54" s="135"/>
      <c r="H54" s="128"/>
      <c r="I54" s="129"/>
    </row>
    <row r="55" spans="1:9" ht="15.75" hidden="1">
      <c r="A55" s="198">
        <v>2</v>
      </c>
      <c r="B55" s="183" t="s">
        <v>189</v>
      </c>
      <c r="C55" s="132">
        <f t="shared" si="2"/>
        <v>0</v>
      </c>
      <c r="D55" s="135"/>
      <c r="E55" s="135"/>
      <c r="F55" s="135"/>
      <c r="G55" s="135"/>
      <c r="H55" s="128"/>
      <c r="I55" s="129"/>
    </row>
    <row r="56" spans="1:9" ht="15.75" hidden="1">
      <c r="A56" s="198">
        <v>3</v>
      </c>
      <c r="B56" s="183" t="s">
        <v>190</v>
      </c>
      <c r="C56" s="132">
        <f t="shared" si="2"/>
        <v>0</v>
      </c>
      <c r="D56" s="135"/>
      <c r="E56" s="135"/>
      <c r="F56" s="135"/>
      <c r="G56" s="135"/>
      <c r="H56" s="128"/>
      <c r="I56" s="129"/>
    </row>
    <row r="57" spans="1:9" ht="15.75" hidden="1">
      <c r="A57" s="198">
        <v>4</v>
      </c>
      <c r="B57" s="183" t="s">
        <v>191</v>
      </c>
      <c r="C57" s="132">
        <f t="shared" si="2"/>
        <v>0</v>
      </c>
      <c r="D57" s="135"/>
      <c r="E57" s="135"/>
      <c r="F57" s="135"/>
      <c r="G57" s="135"/>
      <c r="H57" s="128"/>
      <c r="I57" s="129"/>
    </row>
    <row r="58" spans="1:9" ht="15.75" hidden="1">
      <c r="A58" s="198">
        <v>5</v>
      </c>
      <c r="B58" s="183" t="s">
        <v>192</v>
      </c>
      <c r="C58" s="132">
        <f t="shared" si="2"/>
        <v>0</v>
      </c>
      <c r="D58" s="135"/>
      <c r="E58" s="135"/>
      <c r="F58" s="135"/>
      <c r="G58" s="135"/>
      <c r="H58" s="128"/>
      <c r="I58" s="129"/>
    </row>
    <row r="59" spans="1:9" ht="15.75" hidden="1">
      <c r="A59" s="198">
        <v>6</v>
      </c>
      <c r="B59" s="183" t="s">
        <v>193</v>
      </c>
      <c r="C59" s="132">
        <f t="shared" si="2"/>
        <v>0</v>
      </c>
      <c r="D59" s="135"/>
      <c r="E59" s="135"/>
      <c r="F59" s="135"/>
      <c r="G59" s="135"/>
      <c r="H59" s="128"/>
      <c r="I59" s="129"/>
    </row>
    <row r="60" spans="1:9" ht="14.25">
      <c r="A60" s="200" t="s">
        <v>43</v>
      </c>
      <c r="B60" s="156" t="s">
        <v>82</v>
      </c>
      <c r="C60" s="132">
        <f t="shared" si="2"/>
        <v>1007000000</v>
      </c>
      <c r="D60" s="135"/>
      <c r="E60" s="135"/>
      <c r="F60" s="135">
        <f>'[1]Biểu số 02'!F88</f>
        <v>1007000000</v>
      </c>
      <c r="G60" s="135"/>
      <c r="H60" s="128"/>
      <c r="I60" s="129"/>
    </row>
    <row r="61" spans="1:9" ht="63" hidden="1">
      <c r="A61" s="200" t="s">
        <v>43</v>
      </c>
      <c r="B61" s="201" t="s">
        <v>194</v>
      </c>
      <c r="C61" s="132">
        <f t="shared" si="2"/>
        <v>0</v>
      </c>
      <c r="D61" s="135"/>
      <c r="E61" s="135"/>
      <c r="F61" s="135"/>
      <c r="G61" s="135"/>
      <c r="H61" s="128"/>
      <c r="I61" s="129"/>
    </row>
    <row r="62" spans="1:9" ht="30.75" customHeight="1" hidden="1">
      <c r="A62" s="200" t="s">
        <v>43</v>
      </c>
      <c r="B62" s="201" t="s">
        <v>195</v>
      </c>
      <c r="C62" s="132">
        <f t="shared" si="2"/>
        <v>0</v>
      </c>
      <c r="D62" s="135"/>
      <c r="E62" s="135"/>
      <c r="F62" s="135"/>
      <c r="G62" s="135"/>
      <c r="H62" s="128"/>
      <c r="I62" s="129"/>
    </row>
    <row r="63" spans="1:9" ht="30.75" customHeight="1">
      <c r="A63" s="200" t="s">
        <v>43</v>
      </c>
      <c r="B63" s="156" t="s">
        <v>83</v>
      </c>
      <c r="C63" s="132">
        <f t="shared" si="2"/>
        <v>250000000</v>
      </c>
      <c r="D63" s="135"/>
      <c r="E63" s="135"/>
      <c r="F63" s="135">
        <f>'[1]Biểu số 02'!F91</f>
        <v>250000000</v>
      </c>
      <c r="G63" s="135"/>
      <c r="H63" s="128"/>
      <c r="I63" s="129"/>
    </row>
    <row r="64" spans="1:9" ht="30.75" customHeight="1" hidden="1">
      <c r="A64" s="200" t="s">
        <v>43</v>
      </c>
      <c r="B64" s="202" t="s">
        <v>196</v>
      </c>
      <c r="C64" s="132">
        <f t="shared" si="2"/>
        <v>0</v>
      </c>
      <c r="D64" s="135"/>
      <c r="E64" s="135"/>
      <c r="F64" s="135"/>
      <c r="G64" s="135"/>
      <c r="H64" s="128"/>
      <c r="I64" s="129"/>
    </row>
    <row r="65" spans="1:9" ht="30.75" customHeight="1" hidden="1">
      <c r="A65" s="200" t="s">
        <v>43</v>
      </c>
      <c r="B65" s="202" t="s">
        <v>197</v>
      </c>
      <c r="C65" s="132">
        <f t="shared" si="2"/>
        <v>0</v>
      </c>
      <c r="D65" s="135"/>
      <c r="E65" s="135"/>
      <c r="F65" s="135"/>
      <c r="G65" s="135"/>
      <c r="H65" s="128"/>
      <c r="I65" s="129"/>
    </row>
    <row r="66" spans="1:9" ht="30.75" customHeight="1" hidden="1">
      <c r="A66" s="200" t="s">
        <v>43</v>
      </c>
      <c r="B66" s="202" t="s">
        <v>198</v>
      </c>
      <c r="C66" s="132">
        <f t="shared" si="2"/>
        <v>0</v>
      </c>
      <c r="D66" s="135"/>
      <c r="E66" s="135"/>
      <c r="F66" s="135"/>
      <c r="G66" s="135"/>
      <c r="H66" s="128"/>
      <c r="I66" s="129"/>
    </row>
    <row r="67" spans="1:9" ht="30.75" customHeight="1">
      <c r="A67" s="200" t="s">
        <v>43</v>
      </c>
      <c r="B67" s="156" t="s">
        <v>199</v>
      </c>
      <c r="C67" s="132">
        <f t="shared" si="2"/>
        <v>100000000</v>
      </c>
      <c r="D67" s="135"/>
      <c r="E67" s="135"/>
      <c r="F67" s="135">
        <f>'[1]Biểu số 02'!F95</f>
        <v>100000000</v>
      </c>
      <c r="G67" s="135"/>
      <c r="H67" s="128"/>
      <c r="I67" s="129"/>
    </row>
    <row r="68" spans="1:9" ht="30.75" customHeight="1">
      <c r="A68" s="200" t="s">
        <v>43</v>
      </c>
      <c r="B68" s="156" t="s">
        <v>200</v>
      </c>
      <c r="C68" s="132">
        <f t="shared" si="2"/>
        <v>130000000</v>
      </c>
      <c r="D68" s="135"/>
      <c r="E68" s="135"/>
      <c r="F68" s="135">
        <f>'[1]Biểu số 02'!F96</f>
        <v>130000000</v>
      </c>
      <c r="G68" s="135"/>
      <c r="H68" s="128"/>
      <c r="I68" s="129"/>
    </row>
    <row r="69" spans="1:9" ht="30.75" customHeight="1">
      <c r="A69" s="200" t="s">
        <v>43</v>
      </c>
      <c r="B69" s="156" t="s">
        <v>201</v>
      </c>
      <c r="C69" s="132">
        <f t="shared" si="2"/>
        <v>2000000000</v>
      </c>
      <c r="D69" s="135"/>
      <c r="E69" s="135"/>
      <c r="F69" s="135">
        <f>'[1]Biểu số 02'!F97</f>
        <v>2000000000</v>
      </c>
      <c r="G69" s="135"/>
      <c r="H69" s="128"/>
      <c r="I69" s="129"/>
    </row>
    <row r="70" spans="1:9" ht="30.75" customHeight="1" hidden="1">
      <c r="A70" s="200" t="s">
        <v>43</v>
      </c>
      <c r="B70" s="203" t="s">
        <v>202</v>
      </c>
      <c r="C70" s="132">
        <f t="shared" si="2"/>
        <v>0</v>
      </c>
      <c r="D70" s="135"/>
      <c r="E70" s="135"/>
      <c r="F70" s="135"/>
      <c r="G70" s="135"/>
      <c r="H70" s="128"/>
      <c r="I70" s="129"/>
    </row>
    <row r="71" spans="1:9" ht="30.75" customHeight="1" hidden="1">
      <c r="A71" s="200" t="s">
        <v>43</v>
      </c>
      <c r="B71" s="203" t="s">
        <v>203</v>
      </c>
      <c r="C71" s="132">
        <f t="shared" si="2"/>
        <v>0</v>
      </c>
      <c r="D71" s="135"/>
      <c r="E71" s="135"/>
      <c r="F71" s="135"/>
      <c r="G71" s="135"/>
      <c r="H71" s="128"/>
      <c r="I71" s="129"/>
    </row>
    <row r="72" spans="1:9" ht="30.75" customHeight="1">
      <c r="A72" s="200" t="s">
        <v>43</v>
      </c>
      <c r="B72" s="156" t="s">
        <v>204</v>
      </c>
      <c r="C72" s="132">
        <f t="shared" si="2"/>
        <v>500000000</v>
      </c>
      <c r="D72" s="135"/>
      <c r="E72" s="135"/>
      <c r="F72" s="135">
        <f>'[1]Biểu số 02'!F100</f>
        <v>500000000</v>
      </c>
      <c r="G72" s="135"/>
      <c r="H72" s="128"/>
      <c r="I72" s="129"/>
    </row>
    <row r="73" spans="1:9" ht="30.75" customHeight="1">
      <c r="A73" s="200" t="s">
        <v>43</v>
      </c>
      <c r="B73" s="156" t="s">
        <v>205</v>
      </c>
      <c r="C73" s="132">
        <f t="shared" si="2"/>
        <v>2200000000</v>
      </c>
      <c r="D73" s="135"/>
      <c r="E73" s="135"/>
      <c r="F73" s="135">
        <f>'[1]Biểu số 02'!F101</f>
        <v>2200000000</v>
      </c>
      <c r="G73" s="135"/>
      <c r="H73" s="128"/>
      <c r="I73" s="129"/>
    </row>
    <row r="74" spans="1:9" ht="30.75" customHeight="1" hidden="1">
      <c r="A74" s="200" t="s">
        <v>43</v>
      </c>
      <c r="B74" s="204" t="s">
        <v>192</v>
      </c>
      <c r="C74" s="132">
        <f t="shared" si="2"/>
        <v>0</v>
      </c>
      <c r="D74" s="135"/>
      <c r="E74" s="135"/>
      <c r="F74" s="135"/>
      <c r="G74" s="135"/>
      <c r="H74" s="128" t="e">
        <f aca="true" t="shared" si="3" ref="H74:H110">G74/E74*100</f>
        <v>#DIV/0!</v>
      </c>
      <c r="I74" s="129"/>
    </row>
    <row r="75" spans="1:9" ht="30.75" customHeight="1" hidden="1">
      <c r="A75" s="200" t="s">
        <v>43</v>
      </c>
      <c r="B75" s="205" t="s">
        <v>191</v>
      </c>
      <c r="C75" s="132">
        <f t="shared" si="2"/>
        <v>0</v>
      </c>
      <c r="D75" s="135"/>
      <c r="E75" s="135"/>
      <c r="F75" s="135"/>
      <c r="G75" s="135"/>
      <c r="H75" s="128" t="e">
        <f t="shared" si="3"/>
        <v>#DIV/0!</v>
      </c>
      <c r="I75" s="129"/>
    </row>
    <row r="76" spans="1:9" ht="30.75" customHeight="1" hidden="1">
      <c r="A76" s="200" t="s">
        <v>43</v>
      </c>
      <c r="B76" s="205" t="s">
        <v>190</v>
      </c>
      <c r="C76" s="132">
        <f t="shared" si="2"/>
        <v>0</v>
      </c>
      <c r="D76" s="135"/>
      <c r="E76" s="135"/>
      <c r="F76" s="135"/>
      <c r="G76" s="135"/>
      <c r="H76" s="128" t="e">
        <f t="shared" si="3"/>
        <v>#DIV/0!</v>
      </c>
      <c r="I76" s="129"/>
    </row>
    <row r="77" spans="1:9" ht="30.75" customHeight="1" hidden="1">
      <c r="A77" s="200" t="s">
        <v>43</v>
      </c>
      <c r="B77" s="204" t="s">
        <v>206</v>
      </c>
      <c r="C77" s="132">
        <f t="shared" si="2"/>
        <v>0</v>
      </c>
      <c r="D77" s="135"/>
      <c r="E77" s="135"/>
      <c r="F77" s="135"/>
      <c r="G77" s="135"/>
      <c r="H77" s="128" t="e">
        <f t="shared" si="3"/>
        <v>#DIV/0!</v>
      </c>
      <c r="I77" s="129"/>
    </row>
    <row r="78" spans="1:9" ht="30.75" customHeight="1" hidden="1">
      <c r="A78" s="200" t="s">
        <v>43</v>
      </c>
      <c r="B78" s="205" t="s">
        <v>207</v>
      </c>
      <c r="C78" s="132">
        <f t="shared" si="2"/>
        <v>0</v>
      </c>
      <c r="D78" s="135"/>
      <c r="E78" s="135"/>
      <c r="F78" s="135"/>
      <c r="G78" s="135"/>
      <c r="H78" s="128" t="e">
        <f t="shared" si="3"/>
        <v>#DIV/0!</v>
      </c>
      <c r="I78" s="129"/>
    </row>
    <row r="79" spans="1:9" ht="30.75" customHeight="1" hidden="1">
      <c r="A79" s="200" t="s">
        <v>43</v>
      </c>
      <c r="B79" s="205" t="s">
        <v>188</v>
      </c>
      <c r="C79" s="132">
        <f t="shared" si="2"/>
        <v>0</v>
      </c>
      <c r="D79" s="135"/>
      <c r="E79" s="135"/>
      <c r="F79" s="135"/>
      <c r="G79" s="135"/>
      <c r="H79" s="128" t="e">
        <f t="shared" si="3"/>
        <v>#DIV/0!</v>
      </c>
      <c r="I79" s="129"/>
    </row>
    <row r="80" spans="1:9" ht="30.75" customHeight="1" hidden="1">
      <c r="A80" s="200" t="s">
        <v>43</v>
      </c>
      <c r="B80" s="205" t="s">
        <v>208</v>
      </c>
      <c r="C80" s="132">
        <f t="shared" si="2"/>
        <v>0</v>
      </c>
      <c r="D80" s="135"/>
      <c r="E80" s="135"/>
      <c r="F80" s="135"/>
      <c r="G80" s="135"/>
      <c r="H80" s="128" t="e">
        <f t="shared" si="3"/>
        <v>#DIV/0!</v>
      </c>
      <c r="I80" s="129"/>
    </row>
    <row r="81" spans="1:9" ht="30.75" customHeight="1" hidden="1">
      <c r="A81" s="200" t="s">
        <v>43</v>
      </c>
      <c r="B81" s="205" t="s">
        <v>209</v>
      </c>
      <c r="C81" s="132">
        <f t="shared" si="2"/>
        <v>0</v>
      </c>
      <c r="D81" s="135"/>
      <c r="E81" s="135"/>
      <c r="F81" s="135"/>
      <c r="G81" s="135"/>
      <c r="H81" s="128" t="e">
        <f t="shared" si="3"/>
        <v>#DIV/0!</v>
      </c>
      <c r="I81" s="129"/>
    </row>
    <row r="82" spans="1:9" ht="30.75" customHeight="1" hidden="1">
      <c r="A82" s="200" t="s">
        <v>43</v>
      </c>
      <c r="B82" s="204" t="s">
        <v>210</v>
      </c>
      <c r="C82" s="132">
        <f t="shared" si="2"/>
        <v>0</v>
      </c>
      <c r="D82" s="135"/>
      <c r="E82" s="135"/>
      <c r="F82" s="135"/>
      <c r="G82" s="135"/>
      <c r="H82" s="128" t="e">
        <f t="shared" si="3"/>
        <v>#DIV/0!</v>
      </c>
      <c r="I82" s="129"/>
    </row>
    <row r="83" spans="1:9" ht="30.75" customHeight="1" hidden="1">
      <c r="A83" s="200" t="s">
        <v>43</v>
      </c>
      <c r="B83" s="205" t="s">
        <v>211</v>
      </c>
      <c r="C83" s="132">
        <f t="shared" si="2"/>
        <v>0</v>
      </c>
      <c r="D83" s="135"/>
      <c r="E83" s="135"/>
      <c r="F83" s="135"/>
      <c r="G83" s="135"/>
      <c r="H83" s="128" t="e">
        <f t="shared" si="3"/>
        <v>#DIV/0!</v>
      </c>
      <c r="I83" s="129"/>
    </row>
    <row r="84" spans="1:9" ht="30.75" customHeight="1" hidden="1">
      <c r="A84" s="200" t="s">
        <v>43</v>
      </c>
      <c r="B84" s="205" t="s">
        <v>212</v>
      </c>
      <c r="C84" s="132">
        <f t="shared" si="2"/>
        <v>0</v>
      </c>
      <c r="D84" s="135"/>
      <c r="E84" s="135"/>
      <c r="F84" s="135"/>
      <c r="G84" s="135"/>
      <c r="H84" s="128" t="e">
        <f t="shared" si="3"/>
        <v>#DIV/0!</v>
      </c>
      <c r="I84" s="129"/>
    </row>
    <row r="85" spans="1:9" ht="25.5">
      <c r="A85" s="200" t="s">
        <v>43</v>
      </c>
      <c r="B85" s="156" t="s">
        <v>213</v>
      </c>
      <c r="C85" s="132">
        <f t="shared" si="2"/>
        <v>100000000</v>
      </c>
      <c r="D85" s="135"/>
      <c r="E85" s="135"/>
      <c r="F85" s="135">
        <f>'[1]Biểu số 02'!F113</f>
        <v>100000000</v>
      </c>
      <c r="G85" s="135"/>
      <c r="H85" s="128"/>
      <c r="I85" s="129"/>
    </row>
    <row r="86" spans="1:9" ht="30.75" customHeight="1" hidden="1">
      <c r="A86" s="200" t="s">
        <v>43</v>
      </c>
      <c r="B86" s="203" t="s">
        <v>214</v>
      </c>
      <c r="C86" s="132">
        <f t="shared" si="2"/>
        <v>0</v>
      </c>
      <c r="D86" s="135"/>
      <c r="E86" s="135"/>
      <c r="F86" s="135"/>
      <c r="G86" s="135"/>
      <c r="H86" s="128"/>
      <c r="I86" s="129"/>
    </row>
    <row r="87" spans="1:9" ht="25.5">
      <c r="A87" s="200" t="s">
        <v>43</v>
      </c>
      <c r="B87" s="156" t="s">
        <v>215</v>
      </c>
      <c r="C87" s="132">
        <f t="shared" si="2"/>
        <v>1140000000</v>
      </c>
      <c r="D87" s="135"/>
      <c r="E87" s="135"/>
      <c r="F87" s="135">
        <f>'[1]Biểu số 02'!F115</f>
        <v>1140000000</v>
      </c>
      <c r="G87" s="135"/>
      <c r="H87" s="128"/>
      <c r="I87" s="129"/>
    </row>
    <row r="88" spans="1:9" ht="30.75" customHeight="1" hidden="1">
      <c r="A88" s="198">
        <v>1</v>
      </c>
      <c r="B88" s="206" t="s">
        <v>216</v>
      </c>
      <c r="C88" s="132">
        <f t="shared" si="2"/>
        <v>100000000</v>
      </c>
      <c r="D88" s="135"/>
      <c r="E88" s="135">
        <f>'[1]Biểu số 02'!F116</f>
        <v>100000000</v>
      </c>
      <c r="F88" s="135"/>
      <c r="G88" s="135"/>
      <c r="H88" s="128">
        <f t="shared" si="3"/>
        <v>0</v>
      </c>
      <c r="I88" s="129"/>
    </row>
    <row r="89" spans="1:9" ht="30.75" customHeight="1" hidden="1">
      <c r="A89" s="198">
        <v>2</v>
      </c>
      <c r="B89" s="206" t="s">
        <v>217</v>
      </c>
      <c r="C89" s="132">
        <f t="shared" si="2"/>
        <v>100000000</v>
      </c>
      <c r="D89" s="135"/>
      <c r="E89" s="135">
        <f>'[1]Biểu số 02'!F117</f>
        <v>100000000</v>
      </c>
      <c r="F89" s="135"/>
      <c r="G89" s="135"/>
      <c r="H89" s="128">
        <f t="shared" si="3"/>
        <v>0</v>
      </c>
      <c r="I89" s="129"/>
    </row>
    <row r="90" spans="1:9" ht="30.75" customHeight="1" hidden="1">
      <c r="A90" s="198">
        <v>3</v>
      </c>
      <c r="B90" s="206" t="s">
        <v>218</v>
      </c>
      <c r="C90" s="132">
        <f t="shared" si="2"/>
        <v>100000000</v>
      </c>
      <c r="D90" s="135"/>
      <c r="E90" s="135">
        <f>'[1]Biểu số 02'!F118</f>
        <v>100000000</v>
      </c>
      <c r="F90" s="135"/>
      <c r="G90" s="135"/>
      <c r="H90" s="128">
        <f t="shared" si="3"/>
        <v>0</v>
      </c>
      <c r="I90" s="129"/>
    </row>
    <row r="91" spans="1:9" ht="30.75" customHeight="1" hidden="1">
      <c r="A91" s="198">
        <v>4</v>
      </c>
      <c r="B91" s="206" t="s">
        <v>219</v>
      </c>
      <c r="C91" s="132">
        <f t="shared" si="2"/>
        <v>100000000</v>
      </c>
      <c r="D91" s="135"/>
      <c r="E91" s="135">
        <f>'[1]Biểu số 02'!F119</f>
        <v>100000000</v>
      </c>
      <c r="F91" s="135"/>
      <c r="G91" s="135"/>
      <c r="H91" s="128">
        <f t="shared" si="3"/>
        <v>0</v>
      </c>
      <c r="I91" s="129"/>
    </row>
    <row r="92" spans="1:9" ht="15" hidden="1">
      <c r="A92" s="198">
        <v>5</v>
      </c>
      <c r="B92" s="206" t="s">
        <v>220</v>
      </c>
      <c r="C92" s="132">
        <f t="shared" si="2"/>
        <v>60000000</v>
      </c>
      <c r="D92" s="135"/>
      <c r="E92" s="135">
        <f>'[1]Biểu số 02'!F120</f>
        <v>60000000</v>
      </c>
      <c r="F92" s="135"/>
      <c r="G92" s="135"/>
      <c r="H92" s="128">
        <f t="shared" si="3"/>
        <v>0</v>
      </c>
      <c r="I92" s="129"/>
    </row>
    <row r="93" spans="1:9" ht="15" hidden="1">
      <c r="A93" s="198">
        <v>6</v>
      </c>
      <c r="B93" s="206" t="s">
        <v>221</v>
      </c>
      <c r="C93" s="132">
        <f t="shared" si="2"/>
        <v>70000000</v>
      </c>
      <c r="D93" s="135"/>
      <c r="E93" s="135">
        <f>'[1]Biểu số 02'!F121</f>
        <v>70000000</v>
      </c>
      <c r="F93" s="135"/>
      <c r="G93" s="135"/>
      <c r="H93" s="128">
        <f t="shared" si="3"/>
        <v>0</v>
      </c>
      <c r="I93" s="129"/>
    </row>
    <row r="94" spans="1:9" ht="15" hidden="1">
      <c r="A94" s="198">
        <v>7</v>
      </c>
      <c r="B94" s="206" t="s">
        <v>222</v>
      </c>
      <c r="C94" s="132">
        <f t="shared" si="2"/>
        <v>150000000</v>
      </c>
      <c r="D94" s="135"/>
      <c r="E94" s="135">
        <f>'[1]Biểu số 02'!F122</f>
        <v>150000000</v>
      </c>
      <c r="F94" s="135"/>
      <c r="G94" s="135"/>
      <c r="H94" s="128">
        <f t="shared" si="3"/>
        <v>0</v>
      </c>
      <c r="I94" s="129"/>
    </row>
    <row r="95" spans="1:9" ht="15" hidden="1">
      <c r="A95" s="198">
        <v>8</v>
      </c>
      <c r="B95" s="206" t="s">
        <v>223</v>
      </c>
      <c r="C95" s="132">
        <f>SUM(D95:F95)</f>
        <v>100000000</v>
      </c>
      <c r="D95" s="135"/>
      <c r="E95" s="135">
        <f>'[1]Biểu số 02'!F123</f>
        <v>100000000</v>
      </c>
      <c r="F95" s="135"/>
      <c r="G95" s="135"/>
      <c r="H95" s="128">
        <f t="shared" si="3"/>
        <v>0</v>
      </c>
      <c r="I95" s="129"/>
    </row>
    <row r="96" spans="1:9" ht="15" hidden="1">
      <c r="A96" s="198">
        <v>9</v>
      </c>
      <c r="B96" s="206" t="s">
        <v>224</v>
      </c>
      <c r="C96" s="135">
        <f t="shared" si="2"/>
        <v>100000000</v>
      </c>
      <c r="D96" s="135"/>
      <c r="E96" s="135">
        <f>'[1]Biểu số 02'!F124</f>
        <v>100000000</v>
      </c>
      <c r="F96" s="135"/>
      <c r="G96" s="135"/>
      <c r="H96" s="128">
        <f t="shared" si="3"/>
        <v>0</v>
      </c>
      <c r="I96" s="129"/>
    </row>
    <row r="97" spans="1:9" ht="15" hidden="1">
      <c r="A97" s="198">
        <v>10</v>
      </c>
      <c r="B97" s="206" t="s">
        <v>225</v>
      </c>
      <c r="C97" s="135">
        <f t="shared" si="2"/>
        <v>100000000</v>
      </c>
      <c r="D97" s="135"/>
      <c r="E97" s="135">
        <f>'[1]Biểu số 02'!F125</f>
        <v>100000000</v>
      </c>
      <c r="F97" s="135"/>
      <c r="G97" s="135"/>
      <c r="H97" s="128">
        <f t="shared" si="3"/>
        <v>0</v>
      </c>
      <c r="I97" s="129"/>
    </row>
    <row r="98" spans="1:9" ht="15" hidden="1">
      <c r="A98" s="198">
        <v>11</v>
      </c>
      <c r="B98" s="206" t="s">
        <v>188</v>
      </c>
      <c r="C98" s="135">
        <f t="shared" si="2"/>
        <v>100000000</v>
      </c>
      <c r="D98" s="135"/>
      <c r="E98" s="135">
        <f>'[1]Biểu số 02'!F126</f>
        <v>100000000</v>
      </c>
      <c r="F98" s="135"/>
      <c r="G98" s="135"/>
      <c r="H98" s="128">
        <f t="shared" si="3"/>
        <v>0</v>
      </c>
      <c r="I98" s="129"/>
    </row>
    <row r="99" spans="1:9" ht="15" hidden="1">
      <c r="A99" s="198">
        <v>12</v>
      </c>
      <c r="B99" s="206" t="s">
        <v>226</v>
      </c>
      <c r="C99" s="135">
        <f t="shared" si="2"/>
        <v>60000000</v>
      </c>
      <c r="D99" s="135"/>
      <c r="E99" s="135">
        <f>'[1]Biểu số 02'!F127</f>
        <v>60000000</v>
      </c>
      <c r="F99" s="135"/>
      <c r="G99" s="135"/>
      <c r="H99" s="128">
        <f t="shared" si="3"/>
        <v>0</v>
      </c>
      <c r="I99" s="129"/>
    </row>
    <row r="100" spans="1:9" ht="14.25" hidden="1">
      <c r="A100" s="133"/>
      <c r="B100" s="156"/>
      <c r="C100" s="135">
        <f t="shared" si="2"/>
        <v>0</v>
      </c>
      <c r="D100" s="135"/>
      <c r="E100" s="135"/>
      <c r="F100" s="135"/>
      <c r="G100" s="135"/>
      <c r="H100" s="128" t="e">
        <f t="shared" si="3"/>
        <v>#DIV/0!</v>
      </c>
      <c r="I100" s="138"/>
    </row>
    <row r="101" spans="1:9" ht="29.25" customHeight="1">
      <c r="A101" s="130" t="s">
        <v>5</v>
      </c>
      <c r="B101" s="131" t="s">
        <v>31</v>
      </c>
      <c r="C101" s="132">
        <f>C102+C107</f>
        <v>21876111000</v>
      </c>
      <c r="D101" s="132">
        <f>D102+D107</f>
        <v>18858249000</v>
      </c>
      <c r="E101" s="132">
        <f>E102+E107</f>
        <v>1459000000</v>
      </c>
      <c r="F101" s="132">
        <f>F102+F107</f>
        <v>1558862000</v>
      </c>
      <c r="G101" s="132">
        <f>G102+G107</f>
        <v>1029034059</v>
      </c>
      <c r="H101" s="128">
        <f t="shared" si="3"/>
        <v>70.5300931459904</v>
      </c>
      <c r="I101" s="129"/>
    </row>
    <row r="102" spans="1:9" s="191" customFormat="1" ht="21" customHeight="1">
      <c r="A102" s="207" t="s">
        <v>27</v>
      </c>
      <c r="B102" s="131" t="s">
        <v>28</v>
      </c>
      <c r="C102" s="132">
        <f>SUM(C103:C106)</f>
        <v>18858249000</v>
      </c>
      <c r="D102" s="132">
        <f>SUM(D103:D106)</f>
        <v>18858249000</v>
      </c>
      <c r="E102" s="132">
        <f>SUM(E103:E106)</f>
        <v>0</v>
      </c>
      <c r="F102" s="132">
        <f>SUM(F103:F106)</f>
        <v>0</v>
      </c>
      <c r="G102" s="132">
        <f>SUM(G103:G106)</f>
        <v>524000000</v>
      </c>
      <c r="H102" s="128"/>
      <c r="I102" s="129"/>
    </row>
    <row r="103" spans="1:9" ht="21" customHeight="1">
      <c r="A103" s="208" t="s">
        <v>43</v>
      </c>
      <c r="B103" s="184" t="s">
        <v>227</v>
      </c>
      <c r="C103" s="135">
        <f>D103+E103+F103</f>
        <v>16285000000</v>
      </c>
      <c r="D103" s="135">
        <f>700000000+15585000000</f>
        <v>16285000000</v>
      </c>
      <c r="E103" s="135"/>
      <c r="F103" s="158"/>
      <c r="G103" s="209"/>
      <c r="H103" s="128"/>
      <c r="I103" s="129"/>
    </row>
    <row r="104" spans="1:9" ht="27.75" customHeight="1">
      <c r="A104" s="208" t="s">
        <v>43</v>
      </c>
      <c r="B104" s="185" t="s">
        <v>228</v>
      </c>
      <c r="C104" s="135">
        <f>D104+E104+F104</f>
        <v>2508000000</v>
      </c>
      <c r="D104" s="157">
        <v>2508000000</v>
      </c>
      <c r="E104" s="157"/>
      <c r="F104" s="159"/>
      <c r="G104" s="209">
        <v>524000000</v>
      </c>
      <c r="H104" s="128"/>
      <c r="I104" s="129"/>
    </row>
    <row r="105" spans="1:9" ht="33" customHeight="1">
      <c r="A105" s="208" t="s">
        <v>43</v>
      </c>
      <c r="B105" s="185" t="s">
        <v>229</v>
      </c>
      <c r="C105" s="135">
        <f>D105+E105+F105</f>
        <v>65249000</v>
      </c>
      <c r="D105" s="157">
        <v>65249000</v>
      </c>
      <c r="E105" s="157"/>
      <c r="F105" s="159"/>
      <c r="G105" s="209"/>
      <c r="H105" s="128"/>
      <c r="I105" s="129"/>
    </row>
    <row r="106" spans="1:9" ht="21" customHeight="1" hidden="1">
      <c r="A106" s="208"/>
      <c r="B106" s="186"/>
      <c r="C106" s="157"/>
      <c r="D106" s="157"/>
      <c r="E106" s="157"/>
      <c r="F106" s="159"/>
      <c r="G106" s="209"/>
      <c r="H106" s="128" t="e">
        <f t="shared" si="3"/>
        <v>#DIV/0!</v>
      </c>
      <c r="I106" s="129"/>
    </row>
    <row r="107" spans="1:9" s="191" customFormat="1" ht="21" customHeight="1">
      <c r="A107" s="207" t="s">
        <v>30</v>
      </c>
      <c r="B107" s="131" t="s">
        <v>29</v>
      </c>
      <c r="C107" s="160">
        <f>SUM(C108:C117)</f>
        <v>3017862000</v>
      </c>
      <c r="D107" s="160">
        <f>SUM(D108:D117)</f>
        <v>0</v>
      </c>
      <c r="E107" s="160">
        <f>SUM(E108:E117)</f>
        <v>1459000000</v>
      </c>
      <c r="F107" s="160">
        <f>SUM(F108:F117)</f>
        <v>1558862000</v>
      </c>
      <c r="G107" s="160">
        <f>SUM(G108:G117)</f>
        <v>505034059</v>
      </c>
      <c r="H107" s="128">
        <f t="shared" si="3"/>
        <v>34.61508286497601</v>
      </c>
      <c r="I107" s="129"/>
    </row>
    <row r="108" spans="1:10" ht="46.5" customHeight="1">
      <c r="A108" s="210" t="s">
        <v>32</v>
      </c>
      <c r="B108" s="153" t="s">
        <v>230</v>
      </c>
      <c r="C108" s="161">
        <f>SUM(D108:F108)</f>
        <v>80000000</v>
      </c>
      <c r="D108" s="162"/>
      <c r="E108" s="162">
        <v>80000000</v>
      </c>
      <c r="F108" s="162"/>
      <c r="G108" s="162"/>
      <c r="H108" s="128">
        <f t="shared" si="3"/>
        <v>0</v>
      </c>
      <c r="I108" s="129"/>
      <c r="J108" s="170" t="s">
        <v>231</v>
      </c>
    </row>
    <row r="109" spans="1:10" ht="45.75" customHeight="1">
      <c r="A109" s="210" t="s">
        <v>32</v>
      </c>
      <c r="B109" s="149" t="s">
        <v>232</v>
      </c>
      <c r="C109" s="161">
        <f>SUM(D109:F109)</f>
        <v>1309000000</v>
      </c>
      <c r="D109" s="162"/>
      <c r="E109" s="162">
        <v>1309000000</v>
      </c>
      <c r="F109" s="162"/>
      <c r="G109" s="163">
        <f>'[1]Biểu số 02'!K132</f>
        <v>11157059</v>
      </c>
      <c r="H109" s="128">
        <f t="shared" si="3"/>
        <v>0.8523345301757067</v>
      </c>
      <c r="I109" s="129"/>
      <c r="J109" s="170" t="s">
        <v>233</v>
      </c>
    </row>
    <row r="110" spans="1:10" ht="25.5">
      <c r="A110" s="211" t="s">
        <v>32</v>
      </c>
      <c r="B110" s="164" t="s">
        <v>234</v>
      </c>
      <c r="C110" s="165">
        <f aca="true" t="shared" si="4" ref="C110:C116">SUM(D110:F110)</f>
        <v>70000000</v>
      </c>
      <c r="D110" s="163"/>
      <c r="E110" s="163">
        <v>70000000</v>
      </c>
      <c r="F110" s="212"/>
      <c r="G110" s="213"/>
      <c r="H110" s="128">
        <f t="shared" si="3"/>
        <v>0</v>
      </c>
      <c r="I110" s="129"/>
      <c r="J110" s="170" t="s">
        <v>235</v>
      </c>
    </row>
    <row r="111" spans="1:10" s="214" customFormat="1" ht="25.5">
      <c r="A111" s="211" t="s">
        <v>32</v>
      </c>
      <c r="B111" s="164" t="s">
        <v>236</v>
      </c>
      <c r="C111" s="165">
        <f t="shared" si="4"/>
        <v>500000000</v>
      </c>
      <c r="D111" s="166"/>
      <c r="E111" s="166"/>
      <c r="F111" s="187">
        <v>500000000</v>
      </c>
      <c r="G111" s="187"/>
      <c r="H111" s="128"/>
      <c r="I111" s="129"/>
      <c r="J111" s="214" t="s">
        <v>237</v>
      </c>
    </row>
    <row r="112" spans="1:9" s="214" customFormat="1" ht="25.5">
      <c r="A112" s="211" t="s">
        <v>32</v>
      </c>
      <c r="B112" s="164" t="s">
        <v>238</v>
      </c>
      <c r="C112" s="165">
        <f t="shared" si="4"/>
        <v>96000000</v>
      </c>
      <c r="D112" s="141"/>
      <c r="E112" s="166"/>
      <c r="F112" s="187">
        <v>96000000</v>
      </c>
      <c r="G112" s="187">
        <f>F112</f>
        <v>96000000</v>
      </c>
      <c r="H112" s="128"/>
      <c r="I112" s="129"/>
    </row>
    <row r="113" spans="1:10" s="214" customFormat="1" ht="25.5">
      <c r="A113" s="211" t="s">
        <v>32</v>
      </c>
      <c r="B113" s="164" t="s">
        <v>239</v>
      </c>
      <c r="C113" s="165">
        <f t="shared" si="4"/>
        <v>34300000</v>
      </c>
      <c r="D113" s="141"/>
      <c r="E113" s="166"/>
      <c r="F113" s="215">
        <v>34300000</v>
      </c>
      <c r="G113" s="187">
        <v>34285000</v>
      </c>
      <c r="H113" s="128"/>
      <c r="I113" s="129"/>
      <c r="J113" s="214" t="s">
        <v>174</v>
      </c>
    </row>
    <row r="114" spans="1:9" s="214" customFormat="1" ht="25.5">
      <c r="A114" s="211" t="s">
        <v>32</v>
      </c>
      <c r="B114" s="164" t="s">
        <v>240</v>
      </c>
      <c r="C114" s="165">
        <f t="shared" si="4"/>
        <v>363592000</v>
      </c>
      <c r="D114" s="141"/>
      <c r="E114" s="166"/>
      <c r="F114" s="216">
        <v>363592000</v>
      </c>
      <c r="G114" s="187">
        <f>F114</f>
        <v>363592000</v>
      </c>
      <c r="H114" s="128"/>
      <c r="I114" s="129"/>
    </row>
    <row r="115" spans="1:10" s="214" customFormat="1" ht="51">
      <c r="A115" s="211" t="s">
        <v>32</v>
      </c>
      <c r="B115" s="164" t="s">
        <v>241</v>
      </c>
      <c r="C115" s="165">
        <f t="shared" si="4"/>
        <v>358870000</v>
      </c>
      <c r="D115" s="166"/>
      <c r="E115" s="166"/>
      <c r="F115" s="188">
        <v>358870000</v>
      </c>
      <c r="G115" s="187"/>
      <c r="H115" s="128"/>
      <c r="I115" s="129"/>
      <c r="J115" s="214" t="s">
        <v>242</v>
      </c>
    </row>
    <row r="116" spans="1:10" ht="51">
      <c r="A116" s="211" t="s">
        <v>32</v>
      </c>
      <c r="B116" s="217" t="s">
        <v>243</v>
      </c>
      <c r="C116" s="218">
        <f t="shared" si="4"/>
        <v>206100000</v>
      </c>
      <c r="D116" s="219"/>
      <c r="E116" s="219"/>
      <c r="F116" s="220">
        <v>206100000</v>
      </c>
      <c r="G116" s="221"/>
      <c r="H116" s="128"/>
      <c r="I116" s="129"/>
      <c r="J116" s="170" t="s">
        <v>244</v>
      </c>
    </row>
    <row r="117" spans="1:9" ht="14.25">
      <c r="A117" s="222"/>
      <c r="B117" s="223"/>
      <c r="C117" s="224"/>
      <c r="D117" s="225"/>
      <c r="E117" s="225"/>
      <c r="F117" s="226"/>
      <c r="G117" s="227"/>
      <c r="H117" s="189"/>
      <c r="I117" s="190"/>
    </row>
    <row r="118" spans="1:9" ht="14.25">
      <c r="A118" s="228"/>
      <c r="B118" s="229"/>
      <c r="C118" s="228"/>
      <c r="D118" s="228"/>
      <c r="E118" s="228"/>
      <c r="F118" s="228"/>
      <c r="G118" s="228"/>
      <c r="H118" s="228"/>
      <c r="I118" s="230"/>
    </row>
    <row r="120" ht="14.25">
      <c r="D120" s="231">
        <v>31764014429</v>
      </c>
    </row>
    <row r="121" ht="14.25">
      <c r="D121" s="231"/>
    </row>
    <row r="122" ht="14.25">
      <c r="D122" s="231">
        <v>15585000000</v>
      </c>
    </row>
    <row r="124" spans="3:4" ht="14.25">
      <c r="C124" s="170" t="s">
        <v>245</v>
      </c>
      <c r="D124" s="232">
        <f>D120+D121+D122</f>
        <v>47349014429</v>
      </c>
    </row>
    <row r="125" ht="14.25">
      <c r="D125" s="231"/>
    </row>
    <row r="126" spans="3:4" ht="14.25">
      <c r="C126" s="170" t="s">
        <v>246</v>
      </c>
      <c r="D126" s="170">
        <v>10046915027</v>
      </c>
    </row>
    <row r="128" ht="14.25">
      <c r="D128" s="232">
        <f>D124+D126</f>
        <v>57395929456</v>
      </c>
    </row>
  </sheetData>
  <sheetProtection/>
  <mergeCells count="10">
    <mergeCell ref="C5:D7"/>
    <mergeCell ref="E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27" right="0.38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Y21" sqref="Y21"/>
    </sheetView>
  </sheetViews>
  <sheetFormatPr defaultColWidth="8.00390625" defaultRowHeight="14.25"/>
  <cols>
    <col min="1" max="1" width="6.875" style="237" customWidth="1"/>
    <col min="2" max="2" width="35.875" style="237" customWidth="1"/>
    <col min="3" max="3" width="15.00390625" style="237" hidden="1" customWidth="1"/>
    <col min="4" max="4" width="14.75390625" style="237" hidden="1" customWidth="1"/>
    <col min="5" max="5" width="16.875" style="237" customWidth="1"/>
    <col min="6" max="6" width="13.875" style="237" hidden="1" customWidth="1"/>
    <col min="7" max="7" width="15.25390625" style="237" customWidth="1"/>
    <col min="8" max="8" width="10.00390625" style="275" customWidth="1"/>
    <col min="9" max="9" width="24.875" style="237" hidden="1" customWidth="1"/>
    <col min="10" max="10" width="18.00390625" style="237" hidden="1" customWidth="1"/>
    <col min="11" max="11" width="15.625" style="237" hidden="1" customWidth="1"/>
    <col min="12" max="12" width="17.125" style="237" hidden="1" customWidth="1"/>
    <col min="13" max="13" width="14.875" style="237" hidden="1" customWidth="1"/>
    <col min="14" max="16" width="8.00390625" style="237" hidden="1" customWidth="1"/>
    <col min="17" max="17" width="2.125" style="237" hidden="1" customWidth="1"/>
    <col min="18" max="18" width="17.125" style="237" hidden="1" customWidth="1"/>
    <col min="19" max="19" width="12.50390625" style="237" hidden="1" customWidth="1"/>
    <col min="20" max="20" width="17.375" style="237" hidden="1" customWidth="1"/>
    <col min="21" max="21" width="17.75390625" style="237" hidden="1" customWidth="1"/>
    <col min="22" max="22" width="15.00390625" style="237" hidden="1" customWidth="1"/>
    <col min="23" max="23" width="11.00390625" style="237" customWidth="1"/>
    <col min="24" max="16384" width="8.00390625" style="237" customWidth="1"/>
  </cols>
  <sheetData>
    <row r="1" spans="1:9" ht="27" customHeight="1">
      <c r="A1" s="268"/>
      <c r="B1" s="54"/>
      <c r="C1" s="54"/>
      <c r="D1" s="54"/>
      <c r="E1" s="420" t="s">
        <v>101</v>
      </c>
      <c r="F1" s="420"/>
      <c r="G1" s="420"/>
      <c r="H1" s="420"/>
      <c r="I1" s="233"/>
    </row>
    <row r="2" spans="1:9" ht="27" customHeight="1">
      <c r="A2" s="421" t="s">
        <v>288</v>
      </c>
      <c r="B2" s="421"/>
      <c r="C2" s="421"/>
      <c r="D2" s="421"/>
      <c r="E2" s="421"/>
      <c r="F2" s="421"/>
      <c r="G2" s="421"/>
      <c r="H2" s="421"/>
      <c r="I2" s="233"/>
    </row>
    <row r="3" spans="1:9" ht="29.25" customHeight="1">
      <c r="A3" s="422" t="s">
        <v>304</v>
      </c>
      <c r="B3" s="422"/>
      <c r="C3" s="422"/>
      <c r="D3" s="422"/>
      <c r="E3" s="422"/>
      <c r="F3" s="422"/>
      <c r="G3" s="422"/>
      <c r="H3" s="422"/>
      <c r="I3" s="234"/>
    </row>
    <row r="4" spans="1:11" ht="19.5" customHeight="1">
      <c r="A4" s="235"/>
      <c r="B4" s="235"/>
      <c r="C4" s="235"/>
      <c r="D4" s="235"/>
      <c r="E4" s="423" t="s">
        <v>154</v>
      </c>
      <c r="F4" s="423"/>
      <c r="G4" s="423"/>
      <c r="H4" s="423"/>
      <c r="I4" s="236"/>
      <c r="K4" s="239"/>
    </row>
    <row r="5" spans="1:11" ht="24.75" customHeight="1">
      <c r="A5" s="410" t="s">
        <v>0</v>
      </c>
      <c r="B5" s="410" t="s">
        <v>6</v>
      </c>
      <c r="C5" s="411" t="s">
        <v>298</v>
      </c>
      <c r="D5" s="412"/>
      <c r="E5" s="412"/>
      <c r="F5" s="413"/>
      <c r="G5" s="424" t="s">
        <v>299</v>
      </c>
      <c r="H5" s="427" t="s">
        <v>265</v>
      </c>
      <c r="I5" s="120"/>
      <c r="K5" s="238"/>
    </row>
    <row r="6" spans="1:11" ht="29.25" customHeight="1">
      <c r="A6" s="410"/>
      <c r="B6" s="410"/>
      <c r="C6" s="414"/>
      <c r="D6" s="415"/>
      <c r="E6" s="415"/>
      <c r="F6" s="416"/>
      <c r="G6" s="425"/>
      <c r="H6" s="428"/>
      <c r="I6" s="120"/>
      <c r="K6" s="239"/>
    </row>
    <row r="7" spans="1:21" ht="6.75" customHeight="1">
      <c r="A7" s="410"/>
      <c r="B7" s="410"/>
      <c r="C7" s="417"/>
      <c r="D7" s="418"/>
      <c r="E7" s="418"/>
      <c r="F7" s="419"/>
      <c r="G7" s="426"/>
      <c r="H7" s="429"/>
      <c r="I7" s="240">
        <f>I8-G9</f>
        <v>262414607920</v>
      </c>
      <c r="K7" s="239"/>
      <c r="L7" s="241"/>
      <c r="M7" s="241"/>
      <c r="T7" s="242"/>
      <c r="U7" s="239"/>
    </row>
    <row r="8" spans="1:11" ht="15">
      <c r="A8" s="279" t="s">
        <v>7</v>
      </c>
      <c r="B8" s="279" t="s">
        <v>8</v>
      </c>
      <c r="C8" s="279">
        <v>1</v>
      </c>
      <c r="D8" s="279">
        <v>2</v>
      </c>
      <c r="E8" s="279">
        <v>1</v>
      </c>
      <c r="F8" s="279">
        <v>4</v>
      </c>
      <c r="G8" s="279">
        <v>2</v>
      </c>
      <c r="H8" s="280" t="s">
        <v>107</v>
      </c>
      <c r="I8" s="281">
        <f>(379743170713+116183925438)-135418196697</f>
        <v>360508899454</v>
      </c>
      <c r="K8" s="282"/>
    </row>
    <row r="9" spans="1:22" ht="21" customHeight="1">
      <c r="A9" s="301"/>
      <c r="B9" s="313" t="s">
        <v>9</v>
      </c>
      <c r="C9" s="314" t="e">
        <f>C10+C37</f>
        <v>#REF!</v>
      </c>
      <c r="D9" s="314" t="e">
        <f>D10+D37</f>
        <v>#REF!</v>
      </c>
      <c r="E9" s="292">
        <f>E10+E37</f>
        <v>588727000000</v>
      </c>
      <c r="F9" s="315" t="e">
        <f>F10+F37</f>
        <v>#REF!</v>
      </c>
      <c r="G9" s="292">
        <f>G10+G37</f>
        <v>98094291534</v>
      </c>
      <c r="H9" s="316">
        <f>G9/E9*100</f>
        <v>16.662101709960645</v>
      </c>
      <c r="I9" s="283" t="s">
        <v>156</v>
      </c>
      <c r="J9" s="239"/>
      <c r="K9" s="269"/>
      <c r="M9" s="239"/>
      <c r="P9" s="237">
        <f>G9/E9*100</f>
        <v>16.662101709960645</v>
      </c>
      <c r="Q9" s="241">
        <f>84310935562+13885591657-18350144000-300000000</f>
        <v>79546383219</v>
      </c>
      <c r="R9" s="241">
        <f>79276632331+14459967932-17922447860</f>
        <v>75814152403</v>
      </c>
      <c r="S9" s="239">
        <f>R9-G9</f>
        <v>-22280139131</v>
      </c>
      <c r="T9" s="241">
        <v>169720502837</v>
      </c>
      <c r="V9" s="241">
        <f>109014560038+20930733496-31851002000</f>
        <v>98094291534</v>
      </c>
    </row>
    <row r="10" spans="1:9" ht="21" customHeight="1">
      <c r="A10" s="301" t="s">
        <v>7</v>
      </c>
      <c r="B10" s="313" t="s">
        <v>10</v>
      </c>
      <c r="C10" s="314">
        <f>C11+C20+C36</f>
        <v>500017002409</v>
      </c>
      <c r="D10" s="314">
        <f>D11+D20+D36</f>
        <v>51906502409</v>
      </c>
      <c r="E10" s="292">
        <f>E11+E20+E36</f>
        <v>472151000000</v>
      </c>
      <c r="F10" s="315">
        <f>F11+F20+F36</f>
        <v>0</v>
      </c>
      <c r="G10" s="292">
        <f>G11+G20+G36</f>
        <v>94250702625</v>
      </c>
      <c r="H10" s="316">
        <f>G10/C10*100</f>
        <v>18.84949955119837</v>
      </c>
      <c r="I10" s="283">
        <f>89559638500+40879543642</f>
        <v>130439182142</v>
      </c>
    </row>
    <row r="11" spans="1:21" ht="21" customHeight="1">
      <c r="A11" s="301" t="s">
        <v>3</v>
      </c>
      <c r="B11" s="313" t="s">
        <v>11</v>
      </c>
      <c r="C11" s="314">
        <f>SUM(C12:C16)</f>
        <v>49481477000</v>
      </c>
      <c r="D11" s="314">
        <f>SUM(D12:D16)</f>
        <v>31659977000</v>
      </c>
      <c r="E11" s="292">
        <v>38862000000</v>
      </c>
      <c r="F11" s="315">
        <f>SUM(F12:F16)</f>
        <v>0</v>
      </c>
      <c r="G11" s="292">
        <f>9186676000+3132708099-G46-G40</f>
        <v>8477853000</v>
      </c>
      <c r="H11" s="316">
        <f>G11/C11*100</f>
        <v>17.133387105643592</v>
      </c>
      <c r="I11" s="283" t="e">
        <f>G11+#REF!+#REF!+G49</f>
        <v>#REF!</v>
      </c>
      <c r="K11" s="270"/>
      <c r="Q11" s="271"/>
      <c r="T11" s="239"/>
      <c r="U11" s="239"/>
    </row>
    <row r="12" spans="1:17" ht="21" customHeight="1" hidden="1">
      <c r="A12" s="301">
        <v>1</v>
      </c>
      <c r="B12" s="313" t="s">
        <v>45</v>
      </c>
      <c r="C12" s="314">
        <f aca="true" t="shared" si="0" ref="C12:C18">SUM(D12:F12)</f>
        <v>17254392000</v>
      </c>
      <c r="D12" s="317">
        <v>3877392000</v>
      </c>
      <c r="E12" s="292">
        <v>13377000000</v>
      </c>
      <c r="F12" s="315"/>
      <c r="G12" s="315"/>
      <c r="H12" s="316">
        <f>G12/C12*100</f>
        <v>0</v>
      </c>
      <c r="I12" s="283" t="s">
        <v>256</v>
      </c>
      <c r="Q12" s="237" t="s">
        <v>257</v>
      </c>
    </row>
    <row r="13" spans="1:17" ht="21" customHeight="1" hidden="1">
      <c r="A13" s="301">
        <v>2</v>
      </c>
      <c r="B13" s="313" t="s">
        <v>47</v>
      </c>
      <c r="C13" s="314">
        <f t="shared" si="0"/>
        <v>9044500000</v>
      </c>
      <c r="D13" s="317">
        <v>4600000000</v>
      </c>
      <c r="E13" s="292">
        <f>4444500000</f>
        <v>4444500000</v>
      </c>
      <c r="F13" s="315"/>
      <c r="G13" s="315"/>
      <c r="H13" s="316">
        <f>G13/C13*100</f>
        <v>0</v>
      </c>
      <c r="I13" s="283"/>
      <c r="J13" s="239"/>
      <c r="Q13" s="237" t="s">
        <v>257</v>
      </c>
    </row>
    <row r="14" spans="1:12" ht="21" customHeight="1" hidden="1">
      <c r="A14" s="301">
        <v>3</v>
      </c>
      <c r="B14" s="313" t="s">
        <v>258</v>
      </c>
      <c r="C14" s="314">
        <f t="shared" si="0"/>
        <v>2399000000</v>
      </c>
      <c r="D14" s="317">
        <v>2399000000</v>
      </c>
      <c r="E14" s="292"/>
      <c r="F14" s="315"/>
      <c r="G14" s="315"/>
      <c r="H14" s="316"/>
      <c r="I14" s="284" t="e">
        <f>#REF!+65249000</f>
        <v>#REF!</v>
      </c>
      <c r="K14" s="269"/>
      <c r="L14" s="239"/>
    </row>
    <row r="15" spans="1:12" ht="21" customHeight="1" hidden="1">
      <c r="A15" s="301">
        <v>4</v>
      </c>
      <c r="B15" s="313" t="s">
        <v>157</v>
      </c>
      <c r="C15" s="314">
        <f t="shared" si="0"/>
        <v>3358927000</v>
      </c>
      <c r="D15" s="317">
        <f>629330300+2729596700</f>
        <v>3358927000</v>
      </c>
      <c r="E15" s="292"/>
      <c r="F15" s="315"/>
      <c r="G15" s="315"/>
      <c r="H15" s="316"/>
      <c r="I15" s="284"/>
      <c r="K15" s="269"/>
      <c r="L15" s="239"/>
    </row>
    <row r="16" spans="1:12" ht="21" customHeight="1" hidden="1">
      <c r="A16" s="301">
        <v>5</v>
      </c>
      <c r="B16" s="313" t="s">
        <v>259</v>
      </c>
      <c r="C16" s="314">
        <f t="shared" si="0"/>
        <v>17424658000</v>
      </c>
      <c r="D16" s="314">
        <v>17424658000</v>
      </c>
      <c r="E16" s="292">
        <f>E17+E18+E19</f>
        <v>0</v>
      </c>
      <c r="F16" s="315"/>
      <c r="G16" s="315"/>
      <c r="H16" s="316"/>
      <c r="I16" s="285"/>
      <c r="K16" s="269"/>
      <c r="L16" s="239"/>
    </row>
    <row r="17" spans="1:10" ht="21" customHeight="1" hidden="1">
      <c r="A17" s="301"/>
      <c r="B17" s="318" t="s">
        <v>229</v>
      </c>
      <c r="C17" s="314">
        <f t="shared" si="0"/>
        <v>0</v>
      </c>
      <c r="D17" s="314"/>
      <c r="E17" s="292"/>
      <c r="F17" s="315"/>
      <c r="G17" s="315"/>
      <c r="H17" s="316"/>
      <c r="I17" s="283"/>
      <c r="J17" s="239"/>
    </row>
    <row r="18" spans="1:13" ht="21" customHeight="1" hidden="1">
      <c r="A18" s="301"/>
      <c r="B18" s="313" t="s">
        <v>157</v>
      </c>
      <c r="C18" s="314">
        <f t="shared" si="0"/>
        <v>0</v>
      </c>
      <c r="D18" s="314"/>
      <c r="E18" s="292"/>
      <c r="F18" s="315"/>
      <c r="G18" s="315"/>
      <c r="H18" s="316"/>
      <c r="I18" s="310" t="s">
        <v>260</v>
      </c>
      <c r="L18" s="239"/>
      <c r="M18" s="239"/>
    </row>
    <row r="19" spans="1:12" ht="57" hidden="1">
      <c r="A19" s="301"/>
      <c r="B19" s="313" t="s">
        <v>260</v>
      </c>
      <c r="C19" s="314"/>
      <c r="D19" s="314"/>
      <c r="E19" s="292"/>
      <c r="F19" s="315"/>
      <c r="G19" s="315"/>
      <c r="H19" s="316"/>
      <c r="I19" s="285"/>
      <c r="K19" s="269"/>
      <c r="L19" s="239"/>
    </row>
    <row r="20" spans="1:22" ht="19.5" customHeight="1">
      <c r="A20" s="301" t="s">
        <v>5</v>
      </c>
      <c r="B20" s="313" t="s">
        <v>4</v>
      </c>
      <c r="C20" s="319">
        <f>SUM(C21:C35)</f>
        <v>441092525409</v>
      </c>
      <c r="D20" s="319">
        <f>SUM(D21:D35)</f>
        <v>20246525409</v>
      </c>
      <c r="E20" s="320">
        <f>SUM(E21:E35)</f>
        <v>423846000000</v>
      </c>
      <c r="F20" s="321">
        <f>SUM(F21:F35)</f>
        <v>0</v>
      </c>
      <c r="G20" s="320">
        <f>SUM(G21:G35)</f>
        <v>85772849625</v>
      </c>
      <c r="H20" s="316">
        <f>G20/C20*100</f>
        <v>19.445545930633877</v>
      </c>
      <c r="I20" s="283" t="e">
        <f>G20+G36+#REF!+#REF!+G55</f>
        <v>#REF!</v>
      </c>
      <c r="J20" s="239"/>
      <c r="K20" s="241"/>
      <c r="L20" s="241"/>
      <c r="M20" s="239"/>
      <c r="Q20" s="241">
        <f>45951353862+13739591657</f>
        <v>59690945519</v>
      </c>
      <c r="R20" s="241">
        <f>49417204471+14327027932</f>
        <v>63744232403</v>
      </c>
      <c r="S20" s="239">
        <f>R20-G20</f>
        <v>-22028617222</v>
      </c>
      <c r="T20" s="241"/>
      <c r="U20" s="239">
        <f>57179968339+14680477676</f>
        <v>71860446015</v>
      </c>
      <c r="V20" s="239"/>
    </row>
    <row r="21" spans="1:12" ht="18" customHeight="1">
      <c r="A21" s="279">
        <v>1</v>
      </c>
      <c r="B21" s="322" t="s">
        <v>12</v>
      </c>
      <c r="C21" s="323">
        <f>SUM(D21:F21)</f>
        <v>12122250000</v>
      </c>
      <c r="D21" s="295">
        <v>34989000</v>
      </c>
      <c r="E21" s="295">
        <v>12087261000</v>
      </c>
      <c r="F21" s="324"/>
      <c r="G21" s="295">
        <f>309489991+799159000</f>
        <v>1108648991</v>
      </c>
      <c r="H21" s="325">
        <f>G21/C21*100</f>
        <v>9.145571086225742</v>
      </c>
      <c r="I21" s="283">
        <f>153614186516+73215871571+831149000+269630000</f>
        <v>227930837087</v>
      </c>
      <c r="J21" s="239"/>
      <c r="K21" s="272"/>
      <c r="L21" s="274"/>
    </row>
    <row r="22" spans="1:12" ht="18" customHeight="1">
      <c r="A22" s="279">
        <v>2</v>
      </c>
      <c r="B22" s="322" t="s">
        <v>287</v>
      </c>
      <c r="C22" s="323"/>
      <c r="D22" s="295"/>
      <c r="E22" s="295">
        <v>3000000000</v>
      </c>
      <c r="F22" s="324"/>
      <c r="G22" s="295">
        <v>5000000</v>
      </c>
      <c r="H22" s="325"/>
      <c r="I22" s="283"/>
      <c r="J22" s="239"/>
      <c r="K22" s="272"/>
      <c r="L22" s="274"/>
    </row>
    <row r="23" spans="1:12" ht="18" customHeight="1">
      <c r="A23" s="279">
        <v>3</v>
      </c>
      <c r="B23" s="322" t="s">
        <v>13</v>
      </c>
      <c r="C23" s="323">
        <f>SUM(D23:F23)</f>
        <v>239483000000</v>
      </c>
      <c r="D23" s="295"/>
      <c r="E23" s="295">
        <v>239483000000</v>
      </c>
      <c r="F23" s="324"/>
      <c r="G23" s="295">
        <v>52537448465</v>
      </c>
      <c r="H23" s="325">
        <f>G23/C23*100</f>
        <v>21.937861336712835</v>
      </c>
      <c r="I23" s="283" t="e">
        <f>I20-I21</f>
        <v>#REF!</v>
      </c>
      <c r="J23" s="239"/>
      <c r="K23" s="272"/>
      <c r="L23" s="274"/>
    </row>
    <row r="24" spans="1:12" ht="18" customHeight="1">
      <c r="A24" s="279">
        <v>4</v>
      </c>
      <c r="B24" s="322" t="s">
        <v>14</v>
      </c>
      <c r="C24" s="323">
        <f aca="true" t="shared" si="1" ref="C24:C35">SUM(D24:F24)</f>
        <v>506000000</v>
      </c>
      <c r="D24" s="323"/>
      <c r="E24" s="295">
        <v>506000000</v>
      </c>
      <c r="F24" s="324"/>
      <c r="G24" s="295">
        <v>162648000</v>
      </c>
      <c r="H24" s="325"/>
      <c r="I24" s="286">
        <f>I21-I8</f>
        <v>-132578062367</v>
      </c>
      <c r="K24" s="272"/>
      <c r="L24" s="274"/>
    </row>
    <row r="25" spans="1:12" ht="18" customHeight="1">
      <c r="A25" s="279">
        <v>5</v>
      </c>
      <c r="B25" s="322" t="s">
        <v>161</v>
      </c>
      <c r="C25" s="323">
        <f t="shared" si="1"/>
        <v>0</v>
      </c>
      <c r="D25" s="323"/>
      <c r="E25" s="296"/>
      <c r="F25" s="324"/>
      <c r="G25" s="296"/>
      <c r="H25" s="325"/>
      <c r="I25" s="283"/>
      <c r="J25" s="239"/>
      <c r="K25" s="272"/>
      <c r="L25" s="274"/>
    </row>
    <row r="26" spans="1:12" ht="18" customHeight="1">
      <c r="A26" s="279">
        <v>6</v>
      </c>
      <c r="B26" s="322" t="s">
        <v>16</v>
      </c>
      <c r="C26" s="323">
        <f t="shared" si="1"/>
        <v>0</v>
      </c>
      <c r="D26" s="323"/>
      <c r="E26" s="296"/>
      <c r="F26" s="324"/>
      <c r="G26" s="296"/>
      <c r="H26" s="325"/>
      <c r="I26" s="283"/>
      <c r="K26" s="272"/>
      <c r="L26" s="274"/>
    </row>
    <row r="27" spans="1:12" ht="18" customHeight="1">
      <c r="A27" s="279">
        <v>7</v>
      </c>
      <c r="B27" s="322" t="s">
        <v>17</v>
      </c>
      <c r="C27" s="323">
        <f t="shared" si="1"/>
        <v>1834204000</v>
      </c>
      <c r="D27" s="323"/>
      <c r="E27" s="295">
        <v>1834204000</v>
      </c>
      <c r="F27" s="324"/>
      <c r="G27" s="295">
        <f>220246316+36129800</f>
        <v>256376116</v>
      </c>
      <c r="H27" s="325">
        <f>G27/C27*100</f>
        <v>13.977513733477847</v>
      </c>
      <c r="I27" s="283"/>
      <c r="K27" s="272"/>
      <c r="L27" s="274"/>
    </row>
    <row r="28" spans="1:12" ht="18" customHeight="1">
      <c r="A28" s="279">
        <v>8</v>
      </c>
      <c r="B28" s="322" t="s">
        <v>18</v>
      </c>
      <c r="C28" s="323">
        <f t="shared" si="1"/>
        <v>0</v>
      </c>
      <c r="D28" s="323"/>
      <c r="E28" s="296"/>
      <c r="F28" s="324"/>
      <c r="G28" s="295">
        <f>81095000+2320000</f>
        <v>83415000</v>
      </c>
      <c r="H28" s="325"/>
      <c r="I28" s="283"/>
      <c r="K28" s="272"/>
      <c r="L28" s="274"/>
    </row>
    <row r="29" spans="1:12" ht="18" customHeight="1">
      <c r="A29" s="279">
        <v>9</v>
      </c>
      <c r="B29" s="322" t="s">
        <v>19</v>
      </c>
      <c r="C29" s="323">
        <f t="shared" si="1"/>
        <v>1296184000</v>
      </c>
      <c r="D29" s="323"/>
      <c r="E29" s="295">
        <v>1296184000</v>
      </c>
      <c r="F29" s="324"/>
      <c r="G29" s="295">
        <f>193141463+19818000</f>
        <v>212959463</v>
      </c>
      <c r="H29" s="325">
        <f aca="true" t="shared" si="2" ref="H29:H36">G29/C29*100</f>
        <v>16.4297247150096</v>
      </c>
      <c r="I29" s="283"/>
      <c r="K29" s="272"/>
      <c r="L29" s="274"/>
    </row>
    <row r="30" spans="1:12" ht="18" customHeight="1">
      <c r="A30" s="279">
        <v>10</v>
      </c>
      <c r="B30" s="322" t="s">
        <v>20</v>
      </c>
      <c r="C30" s="323">
        <f t="shared" si="1"/>
        <v>27135612000</v>
      </c>
      <c r="D30" s="323">
        <v>117800000</v>
      </c>
      <c r="E30" s="295">
        <v>27017812000</v>
      </c>
      <c r="F30" s="324"/>
      <c r="G30" s="295">
        <f>4694815000+251340000</f>
        <v>4946155000</v>
      </c>
      <c r="H30" s="325">
        <f t="shared" si="2"/>
        <v>18.227541726348388</v>
      </c>
      <c r="I30" s="283"/>
      <c r="K30" s="272"/>
      <c r="L30" s="274"/>
    </row>
    <row r="31" spans="1:12" ht="18" customHeight="1">
      <c r="A31" s="279">
        <v>11</v>
      </c>
      <c r="B31" s="322" t="s">
        <v>21</v>
      </c>
      <c r="C31" s="323">
        <f t="shared" si="1"/>
        <v>135084357409</v>
      </c>
      <c r="D31" s="323">
        <f>875000000+19051000000+12905429+128830980+26000000</f>
        <v>20093736409</v>
      </c>
      <c r="E31" s="295">
        <v>114990621000</v>
      </c>
      <c r="F31" s="324"/>
      <c r="G31" s="295">
        <f>6991997803+14849697153-G56</f>
        <v>21839637146</v>
      </c>
      <c r="H31" s="325">
        <f t="shared" si="2"/>
        <v>16.167406474663316</v>
      </c>
      <c r="I31" s="283"/>
      <c r="K31" s="272"/>
      <c r="L31" s="274"/>
    </row>
    <row r="32" spans="1:12" ht="18" customHeight="1">
      <c r="A32" s="279">
        <v>12</v>
      </c>
      <c r="B32" s="326" t="s">
        <v>22</v>
      </c>
      <c r="C32" s="323">
        <f t="shared" si="1"/>
        <v>4769100000</v>
      </c>
      <c r="D32" s="323"/>
      <c r="E32" s="295">
        <v>4769100000</v>
      </c>
      <c r="F32" s="324"/>
      <c r="G32" s="295">
        <f>616000000+545558120</f>
        <v>1161558120</v>
      </c>
      <c r="H32" s="325">
        <f t="shared" si="2"/>
        <v>24.3559187268038</v>
      </c>
      <c r="I32" s="283"/>
      <c r="K32" s="272"/>
      <c r="L32" s="274"/>
    </row>
    <row r="33" spans="1:12" ht="18" customHeight="1">
      <c r="A33" s="279">
        <v>13</v>
      </c>
      <c r="B33" s="327" t="s">
        <v>23</v>
      </c>
      <c r="C33" s="323">
        <f t="shared" si="1"/>
        <v>15358818000</v>
      </c>
      <c r="D33" s="323"/>
      <c r="E33" s="295">
        <v>15358818000</v>
      </c>
      <c r="F33" s="324"/>
      <c r="G33" s="295">
        <f>1500000000+1289003324</f>
        <v>2789003324</v>
      </c>
      <c r="H33" s="325">
        <f t="shared" si="2"/>
        <v>18.158971113532303</v>
      </c>
      <c r="I33" s="283"/>
      <c r="K33" s="272"/>
      <c r="L33" s="274"/>
    </row>
    <row r="34" spans="1:12" ht="18" customHeight="1">
      <c r="A34" s="279">
        <v>14</v>
      </c>
      <c r="B34" s="327" t="s">
        <v>169</v>
      </c>
      <c r="C34" s="323">
        <f t="shared" si="1"/>
        <v>783000000</v>
      </c>
      <c r="D34" s="323"/>
      <c r="E34" s="295">
        <v>783000000</v>
      </c>
      <c r="F34" s="324"/>
      <c r="G34" s="295">
        <v>670000000</v>
      </c>
      <c r="H34" s="325">
        <f t="shared" si="2"/>
        <v>85.5683269476373</v>
      </c>
      <c r="I34" s="283"/>
      <c r="K34" s="287"/>
      <c r="L34" s="288"/>
    </row>
    <row r="35" spans="1:9" ht="29.25" customHeight="1">
      <c r="A35" s="279">
        <v>15</v>
      </c>
      <c r="B35" s="327" t="s">
        <v>300</v>
      </c>
      <c r="C35" s="323">
        <f t="shared" si="1"/>
        <v>2720000000</v>
      </c>
      <c r="D35" s="323"/>
      <c r="E35" s="295">
        <v>2720000000</v>
      </c>
      <c r="F35" s="324"/>
      <c r="G35" s="295"/>
      <c r="H35" s="325">
        <f t="shared" si="2"/>
        <v>0</v>
      </c>
      <c r="I35" s="283"/>
    </row>
    <row r="36" spans="1:23" ht="24" customHeight="1">
      <c r="A36" s="301" t="s">
        <v>24</v>
      </c>
      <c r="B36" s="313" t="s">
        <v>25</v>
      </c>
      <c r="C36" s="314">
        <f>SUM(D36:F36)</f>
        <v>9443000000</v>
      </c>
      <c r="D36" s="314"/>
      <c r="E36" s="292">
        <v>9443000000</v>
      </c>
      <c r="F36" s="315"/>
      <c r="G36" s="292"/>
      <c r="H36" s="325">
        <f t="shared" si="2"/>
        <v>0</v>
      </c>
      <c r="I36" s="283"/>
      <c r="V36" s="241"/>
      <c r="W36" s="239"/>
    </row>
    <row r="37" spans="1:9" ht="33.75" customHeight="1">
      <c r="A37" s="301" t="s">
        <v>8</v>
      </c>
      <c r="B37" s="313" t="s">
        <v>48</v>
      </c>
      <c r="C37" s="314" t="e">
        <f>C38+C48</f>
        <v>#REF!</v>
      </c>
      <c r="D37" s="314" t="e">
        <f>D38+D48</f>
        <v>#REF!</v>
      </c>
      <c r="E37" s="292">
        <f>E38+E48+E56</f>
        <v>116576000000</v>
      </c>
      <c r="F37" s="292" t="e">
        <f>F38+F48+F56</f>
        <v>#REF!</v>
      </c>
      <c r="G37" s="292">
        <f>G38+G48+G56</f>
        <v>3843588909</v>
      </c>
      <c r="H37" s="316">
        <f>G37/E37*100</f>
        <v>3.2970670712668135</v>
      </c>
      <c r="I37" s="283"/>
    </row>
    <row r="38" spans="1:20" ht="20.25" customHeight="1">
      <c r="A38" s="301" t="s">
        <v>3</v>
      </c>
      <c r="B38" s="313" t="s">
        <v>26</v>
      </c>
      <c r="C38" s="314" t="e">
        <f>C47+#REF!</f>
        <v>#REF!</v>
      </c>
      <c r="D38" s="314" t="e">
        <f>D47+#REF!</f>
        <v>#REF!</v>
      </c>
      <c r="E38" s="292">
        <f>E39+E42+E45</f>
        <v>93846000000</v>
      </c>
      <c r="F38" s="292">
        <f>F39+F42+F45</f>
        <v>0</v>
      </c>
      <c r="G38" s="292">
        <f>G39+G42+G45</f>
        <v>3841531099</v>
      </c>
      <c r="H38" s="316">
        <f aca="true" t="shared" si="3" ref="H38:H56">G38/E38*100</f>
        <v>4.093441488182767</v>
      </c>
      <c r="I38" s="283"/>
      <c r="J38" s="239"/>
      <c r="T38" s="241"/>
    </row>
    <row r="39" spans="1:20" ht="33.75" customHeight="1">
      <c r="A39" s="302" t="s">
        <v>289</v>
      </c>
      <c r="B39" s="303" t="s">
        <v>286</v>
      </c>
      <c r="C39" s="314"/>
      <c r="D39" s="314"/>
      <c r="E39" s="292">
        <f>E40+E41</f>
        <v>76649000000</v>
      </c>
      <c r="F39" s="292">
        <f>F40+F41</f>
        <v>0</v>
      </c>
      <c r="G39" s="292">
        <f>G40+G41</f>
        <v>1808300000</v>
      </c>
      <c r="H39" s="316">
        <f t="shared" si="3"/>
        <v>2.359195814687732</v>
      </c>
      <c r="I39" s="283"/>
      <c r="J39" s="239"/>
      <c r="T39" s="241"/>
    </row>
    <row r="40" spans="1:20" ht="20.25" customHeight="1">
      <c r="A40" s="302"/>
      <c r="B40" s="303" t="s">
        <v>290</v>
      </c>
      <c r="C40" s="314"/>
      <c r="D40" s="314"/>
      <c r="E40" s="295">
        <v>33190000000</v>
      </c>
      <c r="F40" s="292"/>
      <c r="G40" s="295">
        <v>1808300000</v>
      </c>
      <c r="H40" s="325">
        <f t="shared" si="3"/>
        <v>5.448327809581199</v>
      </c>
      <c r="I40" s="283"/>
      <c r="J40" s="239"/>
      <c r="T40" s="241"/>
    </row>
    <row r="41" spans="1:20" ht="20.25" customHeight="1">
      <c r="A41" s="302"/>
      <c r="B41" s="303" t="s">
        <v>291</v>
      </c>
      <c r="C41" s="314"/>
      <c r="D41" s="314"/>
      <c r="E41" s="295">
        <v>43459000000</v>
      </c>
      <c r="F41" s="292"/>
      <c r="G41" s="292"/>
      <c r="H41" s="325">
        <f t="shared" si="3"/>
        <v>0</v>
      </c>
      <c r="I41" s="283"/>
      <c r="J41" s="239"/>
      <c r="T41" s="241"/>
    </row>
    <row r="42" spans="1:20" ht="20.25" customHeight="1">
      <c r="A42" s="304" t="s">
        <v>292</v>
      </c>
      <c r="B42" s="309" t="s">
        <v>293</v>
      </c>
      <c r="C42" s="314"/>
      <c r="D42" s="314"/>
      <c r="E42" s="292">
        <f>E43+E44</f>
        <v>12328000000</v>
      </c>
      <c r="F42" s="292">
        <f>F43+F44</f>
        <v>0</v>
      </c>
      <c r="G42" s="292">
        <f>G43+G44</f>
        <v>0</v>
      </c>
      <c r="H42" s="325">
        <f t="shared" si="3"/>
        <v>0</v>
      </c>
      <c r="I42" s="283"/>
      <c r="J42" s="239"/>
      <c r="T42" s="241"/>
    </row>
    <row r="43" spans="1:20" ht="20.25" customHeight="1">
      <c r="A43" s="302"/>
      <c r="B43" s="303" t="s">
        <v>290</v>
      </c>
      <c r="C43" s="314"/>
      <c r="D43" s="314"/>
      <c r="E43" s="295"/>
      <c r="F43" s="292"/>
      <c r="G43" s="292"/>
      <c r="H43" s="325"/>
      <c r="I43" s="283"/>
      <c r="J43" s="239"/>
      <c r="T43" s="241"/>
    </row>
    <row r="44" spans="1:20" ht="20.25" customHeight="1">
      <c r="A44" s="302"/>
      <c r="B44" s="303" t="s">
        <v>291</v>
      </c>
      <c r="C44" s="314"/>
      <c r="D44" s="314"/>
      <c r="E44" s="295">
        <v>12328000000</v>
      </c>
      <c r="F44" s="292"/>
      <c r="G44" s="292"/>
      <c r="H44" s="325">
        <f t="shared" si="3"/>
        <v>0</v>
      </c>
      <c r="I44" s="283"/>
      <c r="J44" s="239"/>
      <c r="T44" s="241"/>
    </row>
    <row r="45" spans="1:20" ht="20.25" customHeight="1">
      <c r="A45" s="304" t="s">
        <v>294</v>
      </c>
      <c r="B45" s="309" t="s">
        <v>295</v>
      </c>
      <c r="C45" s="314"/>
      <c r="D45" s="314"/>
      <c r="E45" s="292">
        <f>E46+E47</f>
        <v>4869000000</v>
      </c>
      <c r="F45" s="292">
        <f>F46+F47</f>
        <v>0</v>
      </c>
      <c r="G45" s="292">
        <f>G46+G47</f>
        <v>2033231099</v>
      </c>
      <c r="H45" s="316">
        <f t="shared" si="3"/>
        <v>41.75869991784761</v>
      </c>
      <c r="I45" s="283"/>
      <c r="J45" s="239"/>
      <c r="T45" s="241"/>
    </row>
    <row r="46" spans="1:20" ht="20.25" customHeight="1">
      <c r="A46" s="304"/>
      <c r="B46" s="303" t="s">
        <v>290</v>
      </c>
      <c r="C46" s="314"/>
      <c r="D46" s="314"/>
      <c r="E46" s="295">
        <v>3397000000</v>
      </c>
      <c r="F46" s="292"/>
      <c r="G46" s="295">
        <v>2033231099</v>
      </c>
      <c r="H46" s="325">
        <f t="shared" si="3"/>
        <v>59.853726788342655</v>
      </c>
      <c r="I46" s="283"/>
      <c r="J46" s="239"/>
      <c r="T46" s="241"/>
    </row>
    <row r="47" spans="1:20" ht="22.5" customHeight="1">
      <c r="A47" s="304"/>
      <c r="B47" s="303" t="s">
        <v>291</v>
      </c>
      <c r="C47" s="314" t="e">
        <f>#REF!+#REF!</f>
        <v>#REF!</v>
      </c>
      <c r="D47" s="314" t="e">
        <f>#REF!+#REF!</f>
        <v>#REF!</v>
      </c>
      <c r="E47" s="295">
        <v>1472000000</v>
      </c>
      <c r="F47" s="292"/>
      <c r="G47" s="295"/>
      <c r="H47" s="325">
        <f t="shared" si="3"/>
        <v>0</v>
      </c>
      <c r="I47" s="283"/>
      <c r="T47" s="241"/>
    </row>
    <row r="48" spans="1:9" ht="36.75" customHeight="1">
      <c r="A48" s="301" t="s">
        <v>5</v>
      </c>
      <c r="B48" s="313" t="s">
        <v>297</v>
      </c>
      <c r="C48" s="314" t="e">
        <f>C49+C55</f>
        <v>#REF!</v>
      </c>
      <c r="D48" s="314" t="e">
        <f>D49+D55</f>
        <v>#REF!</v>
      </c>
      <c r="E48" s="292">
        <f>E49+E55</f>
        <v>5962000000</v>
      </c>
      <c r="F48" s="315" t="e">
        <f>F49+F55</f>
        <v>#REF!</v>
      </c>
      <c r="G48" s="292">
        <f>G49+G55</f>
        <v>0</v>
      </c>
      <c r="H48" s="325">
        <f t="shared" si="3"/>
        <v>0</v>
      </c>
      <c r="I48" s="311"/>
    </row>
    <row r="49" spans="1:9" s="273" customFormat="1" ht="21" customHeight="1">
      <c r="A49" s="301" t="s">
        <v>27</v>
      </c>
      <c r="B49" s="313" t="s">
        <v>28</v>
      </c>
      <c r="C49" s="314">
        <f>SUM(C50:C53)</f>
        <v>184713389</v>
      </c>
      <c r="D49" s="314">
        <f>SUM(D50:D53)</f>
        <v>184713389</v>
      </c>
      <c r="E49" s="295">
        <v>5962000000</v>
      </c>
      <c r="F49" s="315">
        <f>SUM(F50:F53)</f>
        <v>0</v>
      </c>
      <c r="G49" s="292">
        <f>SUM(G50:G53)</f>
        <v>0</v>
      </c>
      <c r="H49" s="325">
        <f t="shared" si="3"/>
        <v>0</v>
      </c>
      <c r="I49" s="311"/>
    </row>
    <row r="50" spans="1:9" ht="21" customHeight="1" hidden="1">
      <c r="A50" s="279" t="s">
        <v>43</v>
      </c>
      <c r="B50" s="328" t="s">
        <v>227</v>
      </c>
      <c r="C50" s="323">
        <f>D50+E50+F50</f>
        <v>0</v>
      </c>
      <c r="D50" s="323"/>
      <c r="E50" s="295"/>
      <c r="F50" s="324"/>
      <c r="G50" s="295"/>
      <c r="H50" s="325" t="e">
        <f t="shared" si="3"/>
        <v>#DIV/0!</v>
      </c>
      <c r="I50" s="311"/>
    </row>
    <row r="51" spans="1:9" ht="27.75" customHeight="1" hidden="1">
      <c r="A51" s="279" t="s">
        <v>43</v>
      </c>
      <c r="B51" s="329" t="s">
        <v>228</v>
      </c>
      <c r="C51" s="323">
        <f>D51+E51+F51</f>
        <v>0</v>
      </c>
      <c r="D51" s="323"/>
      <c r="E51" s="295"/>
      <c r="F51" s="324"/>
      <c r="G51" s="295"/>
      <c r="H51" s="325" t="e">
        <f t="shared" si="3"/>
        <v>#DIV/0!</v>
      </c>
      <c r="I51" s="311"/>
    </row>
    <row r="52" spans="1:9" ht="33" customHeight="1" hidden="1">
      <c r="A52" s="279" t="s">
        <v>43</v>
      </c>
      <c r="B52" s="329" t="s">
        <v>229</v>
      </c>
      <c r="C52" s="323">
        <f>D52+E52+F52</f>
        <v>0</v>
      </c>
      <c r="D52" s="323"/>
      <c r="E52" s="295"/>
      <c r="F52" s="324"/>
      <c r="G52" s="295"/>
      <c r="H52" s="325" t="e">
        <f t="shared" si="3"/>
        <v>#DIV/0!</v>
      </c>
      <c r="I52" s="311"/>
    </row>
    <row r="53" spans="1:9" ht="57" hidden="1">
      <c r="A53" s="279" t="s">
        <v>43</v>
      </c>
      <c r="B53" s="330" t="s">
        <v>261</v>
      </c>
      <c r="C53" s="323">
        <f>D53+E53+F53</f>
        <v>184713389</v>
      </c>
      <c r="D53" s="323">
        <v>184713389</v>
      </c>
      <c r="E53" s="295"/>
      <c r="F53" s="324"/>
      <c r="G53" s="295"/>
      <c r="H53" s="325" t="e">
        <f t="shared" si="3"/>
        <v>#DIV/0!</v>
      </c>
      <c r="I53" s="311"/>
    </row>
    <row r="54" spans="1:9" ht="21" customHeight="1" hidden="1">
      <c r="A54" s="279"/>
      <c r="B54" s="331"/>
      <c r="C54" s="323">
        <f>D54+E54+F54</f>
        <v>0</v>
      </c>
      <c r="D54" s="323"/>
      <c r="E54" s="295"/>
      <c r="F54" s="324"/>
      <c r="G54" s="295"/>
      <c r="H54" s="325" t="e">
        <f t="shared" si="3"/>
        <v>#DIV/0!</v>
      </c>
      <c r="I54" s="311"/>
    </row>
    <row r="55" spans="1:9" s="273" customFormat="1" ht="21" customHeight="1">
      <c r="A55" s="301" t="s">
        <v>30</v>
      </c>
      <c r="B55" s="313" t="s">
        <v>29</v>
      </c>
      <c r="C55" s="292" t="e">
        <f>#REF!+#REF!</f>
        <v>#REF!</v>
      </c>
      <c r="D55" s="292" t="e">
        <f>#REF!+#REF!</f>
        <v>#REF!</v>
      </c>
      <c r="E55" s="292"/>
      <c r="F55" s="315" t="e">
        <f>#REF!+#REF!</f>
        <v>#REF!</v>
      </c>
      <c r="G55" s="292"/>
      <c r="H55" s="325"/>
      <c r="I55" s="311"/>
    </row>
    <row r="56" spans="1:9" ht="28.5">
      <c r="A56" s="301" t="s">
        <v>24</v>
      </c>
      <c r="B56" s="313" t="s">
        <v>296</v>
      </c>
      <c r="C56" s="314" t="e">
        <f>#REF!+C57</f>
        <v>#REF!</v>
      </c>
      <c r="D56" s="314" t="e">
        <f>#REF!+D57</f>
        <v>#REF!</v>
      </c>
      <c r="E56" s="292">
        <v>16768000000</v>
      </c>
      <c r="F56" s="315" t="e">
        <f>#REF!+F57</f>
        <v>#REF!</v>
      </c>
      <c r="G56" s="292">
        <v>2057810</v>
      </c>
      <c r="H56" s="316">
        <f t="shared" si="3"/>
        <v>0.012272244751908397</v>
      </c>
      <c r="I56" s="312"/>
    </row>
    <row r="57" spans="1:15" s="243" customFormat="1" ht="14.25" customHeight="1" hidden="1">
      <c r="A57" s="305" t="s">
        <v>30</v>
      </c>
      <c r="B57" s="306" t="s">
        <v>29</v>
      </c>
      <c r="C57" s="307" t="e">
        <f>#REF!+#REF!</f>
        <v>#REF!</v>
      </c>
      <c r="D57" s="307" t="e">
        <f>#REF!+#REF!</f>
        <v>#REF!</v>
      </c>
      <c r="E57" s="307"/>
      <c r="F57" s="308" t="e">
        <f>#REF!+#REF!</f>
        <v>#REF!</v>
      </c>
      <c r="G57" s="307" t="e">
        <f>#REF!+#REF!</f>
        <v>#REF!</v>
      </c>
      <c r="H57" s="325" t="e">
        <f aca="true" t="shared" si="4" ref="H57:H66">G57/C57*100</f>
        <v>#REF!</v>
      </c>
      <c r="I57" s="245"/>
      <c r="J57" s="245"/>
      <c r="K57" s="245" t="s">
        <v>262</v>
      </c>
      <c r="L57" s="245"/>
      <c r="M57" s="245"/>
      <c r="N57" s="244"/>
      <c r="O57" s="246"/>
    </row>
    <row r="58" spans="2:15" s="243" customFormat="1" ht="15" hidden="1">
      <c r="B58" s="244" t="s">
        <v>263</v>
      </c>
      <c r="H58" s="325" t="e">
        <f t="shared" si="4"/>
        <v>#DIV/0!</v>
      </c>
      <c r="O58" s="247"/>
    </row>
    <row r="59" spans="2:15" s="243" customFormat="1" ht="15" hidden="1">
      <c r="B59" s="244"/>
      <c r="H59" s="325" t="e">
        <f t="shared" si="4"/>
        <v>#DIV/0!</v>
      </c>
      <c r="O59" s="247"/>
    </row>
    <row r="60" spans="2:15" s="243" customFormat="1" ht="15" hidden="1">
      <c r="B60" s="244"/>
      <c r="H60" s="325" t="e">
        <f t="shared" si="4"/>
        <v>#DIV/0!</v>
      </c>
      <c r="O60" s="247"/>
    </row>
    <row r="61" spans="2:15" s="243" customFormat="1" ht="15" hidden="1">
      <c r="B61" s="244"/>
      <c r="H61" s="325" t="e">
        <f t="shared" si="4"/>
        <v>#DIV/0!</v>
      </c>
      <c r="O61" s="247"/>
    </row>
    <row r="62" spans="2:15" s="243" customFormat="1" ht="15" hidden="1">
      <c r="B62" s="244"/>
      <c r="H62" s="325" t="e">
        <f t="shared" si="4"/>
        <v>#DIV/0!</v>
      </c>
      <c r="O62" s="247"/>
    </row>
    <row r="63" spans="2:15" s="243" customFormat="1" ht="15" hidden="1">
      <c r="B63" s="244" t="s">
        <v>264</v>
      </c>
      <c r="C63" s="245"/>
      <c r="D63" s="245"/>
      <c r="E63" s="245"/>
      <c r="F63" s="245"/>
      <c r="G63" s="245"/>
      <c r="H63" s="325" t="e">
        <f t="shared" si="4"/>
        <v>#DIV/0!</v>
      </c>
      <c r="O63" s="247"/>
    </row>
    <row r="64" ht="15" hidden="1">
      <c r="H64" s="325" t="e">
        <f t="shared" si="4"/>
        <v>#DIV/0!</v>
      </c>
    </row>
    <row r="65" ht="15" hidden="1">
      <c r="H65" s="325" t="e">
        <f t="shared" si="4"/>
        <v>#DIV/0!</v>
      </c>
    </row>
    <row r="66" ht="15" hidden="1">
      <c r="H66" s="325" t="e">
        <f t="shared" si="4"/>
        <v>#DIV/0!</v>
      </c>
    </row>
  </sheetData>
  <sheetProtection/>
  <mergeCells count="9">
    <mergeCell ref="C5:F7"/>
    <mergeCell ref="E1:H1"/>
    <mergeCell ref="A2:H2"/>
    <mergeCell ref="A3:H3"/>
    <mergeCell ref="E4:H4"/>
    <mergeCell ref="A5:A7"/>
    <mergeCell ref="B5:B7"/>
    <mergeCell ref="G5:G7"/>
    <mergeCell ref="H5:H7"/>
  </mergeCells>
  <printOptions/>
  <pageMargins left="0.590551181102362" right="0" top="0.748031496062992" bottom="0.511811023622047" header="0.31496062992126" footer="0.39370078740157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pane ySplit="4275" topLeftCell="A55" activePane="bottomLeft" state="split"/>
      <selection pane="topLeft" activeCell="A1" sqref="A1"/>
      <selection pane="bottomLeft" activeCell="C59" sqref="C59"/>
    </sheetView>
  </sheetViews>
  <sheetFormatPr defaultColWidth="9.00390625" defaultRowHeight="14.25"/>
  <cols>
    <col min="1" max="1" width="6.125" style="63" customWidth="1"/>
    <col min="2" max="2" width="47.375" style="63" customWidth="1"/>
    <col min="3" max="3" width="10.75390625" style="63" customWidth="1"/>
    <col min="4" max="4" width="10.25390625" style="63" customWidth="1"/>
    <col min="5" max="5" width="12.75390625" style="63" customWidth="1"/>
    <col min="6" max="6" width="11.625" style="63" customWidth="1"/>
    <col min="7" max="7" width="11.50390625" style="63" customWidth="1"/>
    <col min="8" max="8" width="9.75390625" style="63" customWidth="1"/>
    <col min="9" max="9" width="13.875" style="63" bestFit="1" customWidth="1"/>
    <col min="10" max="10" width="14.125" style="63" customWidth="1"/>
    <col min="11" max="16384" width="9.00390625" style="63" customWidth="1"/>
  </cols>
  <sheetData>
    <row r="1" spans="1:8" ht="18.75" customHeight="1">
      <c r="A1" s="62" t="s">
        <v>56</v>
      </c>
      <c r="G1" s="430"/>
      <c r="H1" s="430"/>
    </row>
    <row r="2" spans="1:8" ht="41.25" customHeight="1">
      <c r="A2" s="431" t="s">
        <v>139</v>
      </c>
      <c r="B2" s="431"/>
      <c r="C2" s="431"/>
      <c r="D2" s="431"/>
      <c r="E2" s="431"/>
      <c r="F2" s="431"/>
      <c r="G2" s="431"/>
      <c r="H2" s="431"/>
    </row>
    <row r="3" spans="1:8" ht="20.25" customHeight="1">
      <c r="A3" s="408" t="s">
        <v>140</v>
      </c>
      <c r="B3" s="408"/>
      <c r="C3" s="408"/>
      <c r="D3" s="408"/>
      <c r="E3" s="408"/>
      <c r="F3" s="408"/>
      <c r="G3" s="408"/>
      <c r="H3" s="408"/>
    </row>
    <row r="4" spans="1:8" ht="19.5" customHeight="1">
      <c r="A4" s="432" t="s">
        <v>55</v>
      </c>
      <c r="B4" s="432"/>
      <c r="C4" s="432"/>
      <c r="D4" s="432"/>
      <c r="E4" s="432"/>
      <c r="F4" s="432"/>
      <c r="G4" s="432"/>
      <c r="H4" s="432"/>
    </row>
    <row r="5" spans="1:8" ht="17.25" customHeight="1">
      <c r="A5" s="433" t="s">
        <v>0</v>
      </c>
      <c r="B5" s="433" t="s">
        <v>6</v>
      </c>
      <c r="C5" s="434" t="s">
        <v>52</v>
      </c>
      <c r="D5" s="435"/>
      <c r="E5" s="435"/>
      <c r="F5" s="436"/>
      <c r="G5" s="398" t="s">
        <v>141</v>
      </c>
      <c r="H5" s="398" t="s">
        <v>42</v>
      </c>
    </row>
    <row r="6" spans="1:8" ht="29.25" customHeight="1">
      <c r="A6" s="433"/>
      <c r="B6" s="433"/>
      <c r="C6" s="437" t="s">
        <v>1</v>
      </c>
      <c r="D6" s="437" t="s">
        <v>49</v>
      </c>
      <c r="E6" s="437" t="s">
        <v>50</v>
      </c>
      <c r="F6" s="437" t="s">
        <v>2</v>
      </c>
      <c r="G6" s="399"/>
      <c r="H6" s="399"/>
    </row>
    <row r="7" spans="1:8" ht="37.5" customHeight="1">
      <c r="A7" s="433"/>
      <c r="B7" s="433"/>
      <c r="C7" s="438"/>
      <c r="D7" s="438"/>
      <c r="E7" s="438"/>
      <c r="F7" s="438"/>
      <c r="G7" s="400"/>
      <c r="H7" s="400"/>
    </row>
    <row r="8" spans="1:8" ht="15">
      <c r="A8" s="64" t="s">
        <v>7</v>
      </c>
      <c r="B8" s="64" t="s">
        <v>8</v>
      </c>
      <c r="C8" s="64">
        <v>1</v>
      </c>
      <c r="D8" s="64">
        <v>2</v>
      </c>
      <c r="E8" s="64">
        <v>3</v>
      </c>
      <c r="F8" s="64">
        <v>4</v>
      </c>
      <c r="G8" s="64">
        <v>5</v>
      </c>
      <c r="H8" s="64" t="s">
        <v>51</v>
      </c>
    </row>
    <row r="9" spans="1:8" ht="15">
      <c r="A9" s="65"/>
      <c r="B9" s="66" t="s">
        <v>9</v>
      </c>
      <c r="C9" s="67">
        <f>C10+C32</f>
        <v>465417122.512</v>
      </c>
      <c r="D9" s="67">
        <f>D10+D32</f>
        <v>16382547.828</v>
      </c>
      <c r="E9" s="67">
        <f>E10+E32</f>
        <v>337902000</v>
      </c>
      <c r="F9" s="67">
        <f>F10+F32</f>
        <v>111132574.684</v>
      </c>
      <c r="G9" s="67">
        <f>G10+G32</f>
        <v>213959561</v>
      </c>
      <c r="H9" s="68">
        <f>G9/C9*100</f>
        <v>45.97157058708844</v>
      </c>
    </row>
    <row r="10" spans="1:8" ht="15">
      <c r="A10" s="69" t="s">
        <v>7</v>
      </c>
      <c r="B10" s="70" t="s">
        <v>10</v>
      </c>
      <c r="C10" s="71">
        <f>C11+C17+C31</f>
        <v>330642964.503</v>
      </c>
      <c r="D10" s="71">
        <f>D11+D17+D31</f>
        <v>2837674.503</v>
      </c>
      <c r="E10" s="71">
        <f>E11+E17+E31</f>
        <v>325268000</v>
      </c>
      <c r="F10" s="71">
        <f>F11+F17+F31</f>
        <v>2537290</v>
      </c>
      <c r="G10" s="71">
        <f>G11+G17+G31</f>
        <v>182151065</v>
      </c>
      <c r="H10" s="68">
        <f>G10/C10*100</f>
        <v>55.08995640472709</v>
      </c>
    </row>
    <row r="11" spans="1:9" ht="15">
      <c r="A11" s="69" t="s">
        <v>3</v>
      </c>
      <c r="B11" s="70" t="s">
        <v>11</v>
      </c>
      <c r="C11" s="71">
        <f>SUM(C12:C16)</f>
        <v>16631075</v>
      </c>
      <c r="D11" s="71">
        <f>SUM(D12:D16)</f>
        <v>1859567</v>
      </c>
      <c r="E11" s="71">
        <f>SUM(E12:E16)</f>
        <v>14771508</v>
      </c>
      <c r="F11" s="71">
        <f>SUM(F12:F16)</f>
        <v>0</v>
      </c>
      <c r="G11" s="71">
        <f>SUM(G12:G16)</f>
        <v>11480850</v>
      </c>
      <c r="H11" s="68">
        <f>G11/C11*100</f>
        <v>69.03251894420535</v>
      </c>
      <c r="I11" s="72"/>
    </row>
    <row r="12" spans="1:9" ht="20.25" customHeight="1">
      <c r="A12" s="73">
        <v>1</v>
      </c>
      <c r="B12" s="74" t="s">
        <v>45</v>
      </c>
      <c r="C12" s="68">
        <f>SUM(D12:F12)</f>
        <v>7411000</v>
      </c>
      <c r="D12" s="68"/>
      <c r="E12" s="68">
        <v>7411000</v>
      </c>
      <c r="F12" s="68"/>
      <c r="G12" s="68">
        <v>5969000</v>
      </c>
      <c r="H12" s="68">
        <f>G12/C12*100</f>
        <v>80.54243691809472</v>
      </c>
      <c r="I12" s="72"/>
    </row>
    <row r="13" spans="1:9" ht="15">
      <c r="A13" s="73">
        <v>2</v>
      </c>
      <c r="B13" s="74" t="s">
        <v>46</v>
      </c>
      <c r="C13" s="68">
        <f aca="true" t="shared" si="0" ref="C13:C31">SUM(D13:F13)</f>
        <v>1000000</v>
      </c>
      <c r="D13" s="68"/>
      <c r="E13" s="68">
        <v>1000000</v>
      </c>
      <c r="F13" s="68"/>
      <c r="G13" s="68">
        <v>110000</v>
      </c>
      <c r="H13" s="68"/>
      <c r="I13" s="72"/>
    </row>
    <row r="14" spans="1:8" ht="15">
      <c r="A14" s="73">
        <v>3</v>
      </c>
      <c r="B14" s="74" t="s">
        <v>47</v>
      </c>
      <c r="C14" s="68">
        <f t="shared" si="0"/>
        <v>417922</v>
      </c>
      <c r="D14" s="68">
        <v>164922</v>
      </c>
      <c r="E14" s="68">
        <v>253000</v>
      </c>
      <c r="F14" s="68"/>
      <c r="G14" s="68">
        <v>0</v>
      </c>
      <c r="H14" s="68"/>
    </row>
    <row r="15" spans="1:9" ht="15">
      <c r="A15" s="73">
        <v>4</v>
      </c>
      <c r="B15" s="74" t="s">
        <v>57</v>
      </c>
      <c r="C15" s="68">
        <f t="shared" si="0"/>
        <v>6610153</v>
      </c>
      <c r="D15" s="75">
        <v>502645</v>
      </c>
      <c r="E15" s="68">
        <v>6107508</v>
      </c>
      <c r="F15" s="68"/>
      <c r="G15" s="68">
        <f>3510000+984818-284968</f>
        <v>4209850</v>
      </c>
      <c r="H15" s="68">
        <f>G15/C15*100</f>
        <v>63.687633251454244</v>
      </c>
      <c r="I15" s="76"/>
    </row>
    <row r="16" spans="1:8" ht="15">
      <c r="A16" s="73">
        <v>5</v>
      </c>
      <c r="B16" s="74" t="s">
        <v>85</v>
      </c>
      <c r="C16" s="68">
        <f t="shared" si="0"/>
        <v>1192000</v>
      </c>
      <c r="D16" s="68">
        <v>1192000</v>
      </c>
      <c r="E16" s="68"/>
      <c r="F16" s="68"/>
      <c r="G16" s="68">
        <f>D16</f>
        <v>1192000</v>
      </c>
      <c r="H16" s="68">
        <f>G16/C16*100</f>
        <v>100</v>
      </c>
    </row>
    <row r="17" spans="1:8" ht="15">
      <c r="A17" s="69" t="s">
        <v>5</v>
      </c>
      <c r="B17" s="70" t="s">
        <v>4</v>
      </c>
      <c r="C17" s="71">
        <f>SUM(C18:C30)</f>
        <v>307312039.503</v>
      </c>
      <c r="D17" s="71">
        <f>SUM(D18:D30)</f>
        <v>911497.503</v>
      </c>
      <c r="E17" s="71">
        <f>SUM(E18:E30)</f>
        <v>303863252</v>
      </c>
      <c r="F17" s="71">
        <f>SUM(F18:F30)</f>
        <v>2537290</v>
      </c>
      <c r="G17" s="71">
        <f>SUM(G18:G30)</f>
        <v>169618694</v>
      </c>
      <c r="H17" s="77">
        <f>G17/C17*100</f>
        <v>55.19428860461035</v>
      </c>
    </row>
    <row r="18" spans="1:8" ht="15">
      <c r="A18" s="73">
        <v>1</v>
      </c>
      <c r="B18" s="78" t="s">
        <v>12</v>
      </c>
      <c r="C18" s="68">
        <f t="shared" si="0"/>
        <v>16052990</v>
      </c>
      <c r="D18" s="79">
        <f>310000+170000</f>
        <v>480000</v>
      </c>
      <c r="E18" s="79">
        <v>13196000</v>
      </c>
      <c r="F18" s="80">
        <f>525000+1685040+166950</f>
        <v>2376990</v>
      </c>
      <c r="G18" s="79">
        <f>2318885+696274-77711-G84-G91-G41-G47</f>
        <v>1255913</v>
      </c>
      <c r="H18" s="68">
        <f>G18/C18*100</f>
        <v>7.8235456447677345</v>
      </c>
    </row>
    <row r="19" spans="1:8" ht="15">
      <c r="A19" s="73">
        <v>2</v>
      </c>
      <c r="B19" s="78" t="s">
        <v>13</v>
      </c>
      <c r="C19" s="68">
        <f t="shared" si="0"/>
        <v>171222614.219</v>
      </c>
      <c r="D19" s="79">
        <v>230614.219</v>
      </c>
      <c r="E19" s="79">
        <v>170992000</v>
      </c>
      <c r="F19" s="79"/>
      <c r="G19" s="79">
        <f>104494288-G65-G68-G69-G77-330905-3930962</f>
        <v>98086463</v>
      </c>
      <c r="H19" s="68">
        <f aca="true" t="shared" si="1" ref="H19:H34">G19/C19*100</f>
        <v>57.28592770727342</v>
      </c>
    </row>
    <row r="20" spans="1:8" ht="15">
      <c r="A20" s="73">
        <v>3</v>
      </c>
      <c r="B20" s="78" t="s">
        <v>14</v>
      </c>
      <c r="C20" s="68">
        <f t="shared" si="0"/>
        <v>0</v>
      </c>
      <c r="D20" s="79"/>
      <c r="E20" s="79"/>
      <c r="F20" s="79"/>
      <c r="G20" s="79"/>
      <c r="H20" s="68"/>
    </row>
    <row r="21" spans="1:8" ht="15">
      <c r="A21" s="73">
        <v>4</v>
      </c>
      <c r="B21" s="78" t="s">
        <v>15</v>
      </c>
      <c r="C21" s="68">
        <f t="shared" si="0"/>
        <v>0</v>
      </c>
      <c r="D21" s="79"/>
      <c r="E21" s="79"/>
      <c r="F21" s="79"/>
      <c r="G21" s="79"/>
      <c r="H21" s="68"/>
    </row>
    <row r="22" spans="1:8" ht="15">
      <c r="A22" s="73">
        <v>5</v>
      </c>
      <c r="B22" s="78" t="s">
        <v>16</v>
      </c>
      <c r="C22" s="68">
        <f t="shared" si="0"/>
        <v>400000</v>
      </c>
      <c r="D22" s="79"/>
      <c r="E22" s="79">
        <v>400000</v>
      </c>
      <c r="F22" s="79"/>
      <c r="G22" s="79"/>
      <c r="H22" s="68">
        <f t="shared" si="1"/>
        <v>0</v>
      </c>
    </row>
    <row r="23" spans="1:8" ht="15">
      <c r="A23" s="73">
        <v>6</v>
      </c>
      <c r="B23" s="78" t="s">
        <v>17</v>
      </c>
      <c r="C23" s="68">
        <f t="shared" si="0"/>
        <v>1098156</v>
      </c>
      <c r="D23" s="79"/>
      <c r="E23" s="79">
        <v>1098156</v>
      </c>
      <c r="F23" s="79"/>
      <c r="G23" s="79">
        <f>533651+148297</f>
        <v>681948</v>
      </c>
      <c r="H23" s="68">
        <f t="shared" si="1"/>
        <v>62.09937385945167</v>
      </c>
    </row>
    <row r="24" spans="1:8" ht="15">
      <c r="A24" s="73">
        <v>7</v>
      </c>
      <c r="B24" s="78" t="s">
        <v>18</v>
      </c>
      <c r="C24" s="68">
        <f t="shared" si="0"/>
        <v>237371</v>
      </c>
      <c r="D24" s="79"/>
      <c r="E24" s="79">
        <v>237371</v>
      </c>
      <c r="F24" s="79"/>
      <c r="G24" s="79">
        <f>172905+7000</f>
        <v>179905</v>
      </c>
      <c r="H24" s="68">
        <f t="shared" si="1"/>
        <v>75.79063996865666</v>
      </c>
    </row>
    <row r="25" spans="1:8" ht="15">
      <c r="A25" s="73">
        <v>8</v>
      </c>
      <c r="B25" s="78" t="s">
        <v>19</v>
      </c>
      <c r="C25" s="68">
        <f t="shared" si="0"/>
        <v>1483342</v>
      </c>
      <c r="D25" s="79"/>
      <c r="E25" s="79">
        <v>1483342</v>
      </c>
      <c r="F25" s="79"/>
      <c r="G25" s="79">
        <f>701014+62015</f>
        <v>763029</v>
      </c>
      <c r="H25" s="68">
        <f t="shared" si="1"/>
        <v>51.43985675589311</v>
      </c>
    </row>
    <row r="26" spans="1:8" ht="15">
      <c r="A26" s="73">
        <v>9</v>
      </c>
      <c r="B26" s="78" t="s">
        <v>20</v>
      </c>
      <c r="C26" s="68">
        <f t="shared" si="0"/>
        <v>8716300</v>
      </c>
      <c r="D26" s="79"/>
      <c r="E26" s="79">
        <v>8556000</v>
      </c>
      <c r="F26" s="79">
        <f>68800+91500</f>
        <v>160300</v>
      </c>
      <c r="G26" s="79">
        <f>6651946+832557+1191223-G63-G70-G80</f>
        <v>7176029</v>
      </c>
      <c r="H26" s="68">
        <f t="shared" si="1"/>
        <v>82.3288436607276</v>
      </c>
    </row>
    <row r="27" spans="1:8" ht="15">
      <c r="A27" s="73">
        <v>10</v>
      </c>
      <c r="B27" s="78" t="s">
        <v>21</v>
      </c>
      <c r="C27" s="68">
        <f t="shared" si="0"/>
        <v>89353745.284</v>
      </c>
      <c r="D27" s="81">
        <f>23200.797+20000+27682.487</f>
        <v>70883.284</v>
      </c>
      <c r="E27" s="79">
        <v>89282862</v>
      </c>
      <c r="F27" s="79"/>
      <c r="G27" s="79">
        <f>18949704+36779857+142920+18975-792132-4857428-G55-G64-G75-G76-G78-G82-766553+2058674</f>
        <v>51228771</v>
      </c>
      <c r="H27" s="68">
        <f t="shared" si="1"/>
        <v>57.332539153423944</v>
      </c>
    </row>
    <row r="28" spans="1:8" ht="15">
      <c r="A28" s="73">
        <v>11</v>
      </c>
      <c r="B28" s="82" t="s">
        <v>22</v>
      </c>
      <c r="C28" s="68">
        <f t="shared" si="0"/>
        <v>3346521</v>
      </c>
      <c r="D28" s="79">
        <v>130000</v>
      </c>
      <c r="E28" s="79">
        <v>3216521</v>
      </c>
      <c r="F28" s="79"/>
      <c r="G28" s="79">
        <f>1005076+2667455-G74</f>
        <v>3602531</v>
      </c>
      <c r="H28" s="68">
        <f t="shared" si="1"/>
        <v>107.65003416981396</v>
      </c>
    </row>
    <row r="29" spans="1:8" ht="15">
      <c r="A29" s="73">
        <v>12</v>
      </c>
      <c r="B29" s="83" t="s">
        <v>23</v>
      </c>
      <c r="C29" s="68">
        <f t="shared" si="0"/>
        <v>6654000</v>
      </c>
      <c r="D29" s="79"/>
      <c r="E29" s="79">
        <v>6654000</v>
      </c>
      <c r="F29" s="79"/>
      <c r="G29" s="79">
        <f>2074770+4569335</f>
        <v>6644105</v>
      </c>
      <c r="H29" s="68">
        <f t="shared" si="1"/>
        <v>99.85129245566576</v>
      </c>
    </row>
    <row r="30" spans="1:8" ht="15">
      <c r="A30" s="73">
        <v>13</v>
      </c>
      <c r="B30" s="83" t="s">
        <v>91</v>
      </c>
      <c r="C30" s="68">
        <f t="shared" si="0"/>
        <v>8747000</v>
      </c>
      <c r="D30" s="79"/>
      <c r="E30" s="79">
        <v>8747000</v>
      </c>
      <c r="F30" s="79"/>
      <c r="G30" s="79"/>
      <c r="H30" s="68">
        <f t="shared" si="1"/>
        <v>0</v>
      </c>
    </row>
    <row r="31" spans="1:8" ht="24.75" customHeight="1">
      <c r="A31" s="69" t="s">
        <v>24</v>
      </c>
      <c r="B31" s="70" t="s">
        <v>25</v>
      </c>
      <c r="C31" s="71">
        <f t="shared" si="0"/>
        <v>6699850</v>
      </c>
      <c r="D31" s="84">
        <f>36000+30610</f>
        <v>66610</v>
      </c>
      <c r="E31" s="84">
        <f>7020000-386760</f>
        <v>6633240</v>
      </c>
      <c r="F31" s="84"/>
      <c r="G31" s="84">
        <f>284968+766553</f>
        <v>1051521</v>
      </c>
      <c r="H31" s="77">
        <f t="shared" si="1"/>
        <v>15.694694657343074</v>
      </c>
    </row>
    <row r="32" spans="1:8" ht="47.25" customHeight="1">
      <c r="A32" s="69" t="s">
        <v>8</v>
      </c>
      <c r="B32" s="70" t="s">
        <v>48</v>
      </c>
      <c r="C32" s="84">
        <f>C33+C58</f>
        <v>134774158.009</v>
      </c>
      <c r="D32" s="84">
        <f>D33+D58</f>
        <v>13544873.325</v>
      </c>
      <c r="E32" s="84">
        <f>E33+E58</f>
        <v>12634000</v>
      </c>
      <c r="F32" s="84">
        <f>F33+F58</f>
        <v>108595284.684</v>
      </c>
      <c r="G32" s="84">
        <f>G33+G58</f>
        <v>31808496</v>
      </c>
      <c r="H32" s="77">
        <f t="shared" si="1"/>
        <v>23.60133164243243</v>
      </c>
    </row>
    <row r="33" spans="1:8" ht="21.75" customHeight="1">
      <c r="A33" s="69">
        <v>1</v>
      </c>
      <c r="B33" s="70" t="s">
        <v>26</v>
      </c>
      <c r="C33" s="84">
        <f>C34+C51</f>
        <v>87667793.205</v>
      </c>
      <c r="D33" s="84">
        <f>D34+D51</f>
        <v>12718793.205</v>
      </c>
      <c r="E33" s="84">
        <f>E34+E51</f>
        <v>0</v>
      </c>
      <c r="F33" s="84">
        <f>F34+F51</f>
        <v>74949000</v>
      </c>
      <c r="G33" s="84">
        <f>G34+G51</f>
        <v>16705596</v>
      </c>
      <c r="H33" s="77">
        <f t="shared" si="1"/>
        <v>19.055568058997547</v>
      </c>
    </row>
    <row r="34" spans="1:8" ht="21" customHeight="1">
      <c r="A34" s="73" t="s">
        <v>27</v>
      </c>
      <c r="B34" s="74" t="s">
        <v>53</v>
      </c>
      <c r="C34" s="81">
        <f>C35+C38</f>
        <v>57114032</v>
      </c>
      <c r="D34" s="81">
        <f>D35+D38</f>
        <v>9106032</v>
      </c>
      <c r="E34" s="81">
        <f>E35+E38</f>
        <v>0</v>
      </c>
      <c r="F34" s="81">
        <f>F35+F38</f>
        <v>48008000</v>
      </c>
      <c r="G34" s="81">
        <f>G35+G38</f>
        <v>14721422</v>
      </c>
      <c r="H34" s="68">
        <f t="shared" si="1"/>
        <v>25.77549068852292</v>
      </c>
    </row>
    <row r="35" spans="1:8" ht="22.5" customHeight="1">
      <c r="A35" s="73" t="s">
        <v>43</v>
      </c>
      <c r="B35" s="74" t="s">
        <v>28</v>
      </c>
      <c r="C35" s="81">
        <f>SUM(C36:C37)</f>
        <v>44057032</v>
      </c>
      <c r="D35" s="81">
        <f>SUM(D36:D37)</f>
        <v>9106032</v>
      </c>
      <c r="E35" s="81">
        <f>SUM(E36:E37)</f>
        <v>0</v>
      </c>
      <c r="F35" s="81">
        <f>SUM(F36:F37)</f>
        <v>34951000</v>
      </c>
      <c r="G35" s="81">
        <f>SUM(G36:G37)</f>
        <v>14047748</v>
      </c>
      <c r="H35" s="68">
        <f>G35/C35*100</f>
        <v>31.88537076215211</v>
      </c>
    </row>
    <row r="36" spans="1:8" ht="22.5" customHeight="1">
      <c r="A36" s="73" t="s">
        <v>71</v>
      </c>
      <c r="B36" s="74" t="s">
        <v>69</v>
      </c>
      <c r="C36" s="68">
        <f>SUM(D36:F36)</f>
        <v>21313592</v>
      </c>
      <c r="D36" s="81">
        <v>6083592</v>
      </c>
      <c r="E36" s="81"/>
      <c r="F36" s="81">
        <v>15230000</v>
      </c>
      <c r="G36" s="81">
        <f>28000+4325854</f>
        <v>4353854</v>
      </c>
      <c r="H36" s="68">
        <f>G36/C36*100</f>
        <v>20.427593809621577</v>
      </c>
    </row>
    <row r="37" spans="1:8" ht="22.5" customHeight="1">
      <c r="A37" s="73" t="s">
        <v>71</v>
      </c>
      <c r="B37" s="74" t="s">
        <v>70</v>
      </c>
      <c r="C37" s="68">
        <f>SUM(D37:F37)</f>
        <v>22743440</v>
      </c>
      <c r="D37" s="81">
        <v>3022440</v>
      </c>
      <c r="E37" s="81"/>
      <c r="F37" s="85">
        <v>19721000</v>
      </c>
      <c r="G37" s="81">
        <f>7315820+408000+1970074</f>
        <v>9693894</v>
      </c>
      <c r="H37" s="68">
        <f>G37/C37*100</f>
        <v>42.62281343543457</v>
      </c>
    </row>
    <row r="38" spans="1:8" ht="28.5" customHeight="1">
      <c r="A38" s="73" t="s">
        <v>43</v>
      </c>
      <c r="B38" s="74" t="s">
        <v>44</v>
      </c>
      <c r="C38" s="81">
        <f>C39+C44+C45+C46</f>
        <v>13057000</v>
      </c>
      <c r="D38" s="81">
        <f>D39+D44+D45+D46</f>
        <v>0</v>
      </c>
      <c r="E38" s="81">
        <f>E39+E44+E45+E46</f>
        <v>0</v>
      </c>
      <c r="F38" s="81">
        <f>F39+F44+F45+F46</f>
        <v>13057000</v>
      </c>
      <c r="G38" s="81">
        <f>G39+G44+G45+G46</f>
        <v>673674</v>
      </c>
      <c r="H38" s="68">
        <f aca="true" t="shared" si="2" ref="H38:H91">G38/C38*100</f>
        <v>5.159485333537566</v>
      </c>
    </row>
    <row r="39" spans="1:8" ht="23.25" customHeight="1">
      <c r="A39" s="73" t="s">
        <v>32</v>
      </c>
      <c r="B39" s="86" t="s">
        <v>72</v>
      </c>
      <c r="C39" s="81">
        <f>C40+C43</f>
        <v>8890000</v>
      </c>
      <c r="D39" s="81">
        <f>D40+D43</f>
        <v>0</v>
      </c>
      <c r="E39" s="81">
        <f>E40+E43</f>
        <v>0</v>
      </c>
      <c r="F39" s="81">
        <f>F40+F43</f>
        <v>8890000</v>
      </c>
      <c r="G39" s="81">
        <f>G40+G43</f>
        <v>489720</v>
      </c>
      <c r="H39" s="68">
        <f t="shared" si="2"/>
        <v>5.508661417322835</v>
      </c>
    </row>
    <row r="40" spans="1:8" ht="38.25" customHeight="1">
      <c r="A40" s="73" t="s">
        <v>71</v>
      </c>
      <c r="B40" s="87" t="s">
        <v>73</v>
      </c>
      <c r="C40" s="81">
        <f>SUM(C41:C42)</f>
        <v>8392000</v>
      </c>
      <c r="D40" s="81"/>
      <c r="E40" s="81"/>
      <c r="F40" s="81">
        <f>SUM(F41:F42)</f>
        <v>8392000</v>
      </c>
      <c r="G40" s="81">
        <f>SUM(G41:G42)</f>
        <v>489720</v>
      </c>
      <c r="H40" s="68">
        <f t="shared" si="2"/>
        <v>5.835557673975215</v>
      </c>
    </row>
    <row r="41" spans="1:8" ht="22.5" customHeight="1">
      <c r="A41" s="73"/>
      <c r="B41" s="88" t="s">
        <v>74</v>
      </c>
      <c r="C41" s="68">
        <f>SUM(D41:F41)</f>
        <v>6734000</v>
      </c>
      <c r="D41" s="89"/>
      <c r="E41" s="89"/>
      <c r="F41" s="89">
        <v>6734000</v>
      </c>
      <c r="G41" s="89">
        <v>489720</v>
      </c>
      <c r="H41" s="68">
        <f t="shared" si="2"/>
        <v>7.272349272349272</v>
      </c>
    </row>
    <row r="42" spans="1:8" ht="22.5" customHeight="1">
      <c r="A42" s="73"/>
      <c r="B42" s="88" t="s">
        <v>75</v>
      </c>
      <c r="C42" s="68">
        <f>SUM(D42:F42)</f>
        <v>1658000</v>
      </c>
      <c r="D42" s="89"/>
      <c r="E42" s="89"/>
      <c r="F42" s="89">
        <v>1658000</v>
      </c>
      <c r="G42" s="89"/>
      <c r="H42" s="68">
        <f t="shared" si="2"/>
        <v>0</v>
      </c>
    </row>
    <row r="43" spans="1:8" ht="32.25" customHeight="1">
      <c r="A43" s="73" t="s">
        <v>71</v>
      </c>
      <c r="B43" s="90" t="s">
        <v>86</v>
      </c>
      <c r="C43" s="68">
        <f>SUM(D43:F43)</f>
        <v>498000</v>
      </c>
      <c r="D43" s="81"/>
      <c r="E43" s="81"/>
      <c r="F43" s="81">
        <v>498000</v>
      </c>
      <c r="G43" s="81"/>
      <c r="H43" s="68">
        <f t="shared" si="2"/>
        <v>0</v>
      </c>
    </row>
    <row r="44" spans="1:8" ht="27.75" customHeight="1">
      <c r="A44" s="73" t="s">
        <v>32</v>
      </c>
      <c r="B44" s="91" t="s">
        <v>76</v>
      </c>
      <c r="C44" s="68">
        <f>SUM(D44:F44)</f>
        <v>23000</v>
      </c>
      <c r="D44" s="81"/>
      <c r="E44" s="81"/>
      <c r="F44" s="81">
        <v>23000</v>
      </c>
      <c r="G44" s="81"/>
      <c r="H44" s="68">
        <f t="shared" si="2"/>
        <v>0</v>
      </c>
    </row>
    <row r="45" spans="1:8" ht="22.5" customHeight="1">
      <c r="A45" s="73" t="s">
        <v>32</v>
      </c>
      <c r="B45" s="90" t="s">
        <v>77</v>
      </c>
      <c r="C45" s="81">
        <f>SUM(D45:F45)</f>
        <v>60000</v>
      </c>
      <c r="D45" s="81"/>
      <c r="E45" s="81"/>
      <c r="F45" s="81">
        <v>60000</v>
      </c>
      <c r="G45" s="81"/>
      <c r="H45" s="68">
        <f t="shared" si="2"/>
        <v>0</v>
      </c>
    </row>
    <row r="46" spans="1:8" ht="23.25" customHeight="1">
      <c r="A46" s="73" t="s">
        <v>32</v>
      </c>
      <c r="B46" s="91" t="s">
        <v>78</v>
      </c>
      <c r="C46" s="81">
        <f>C47+C48</f>
        <v>4084000</v>
      </c>
      <c r="D46" s="81">
        <f>D47+D48</f>
        <v>0</v>
      </c>
      <c r="E46" s="81">
        <f>E47+E48</f>
        <v>0</v>
      </c>
      <c r="F46" s="81">
        <f>F47+F48</f>
        <v>4084000</v>
      </c>
      <c r="G46" s="81">
        <f>G47+G48</f>
        <v>183954</v>
      </c>
      <c r="H46" s="68">
        <f t="shared" si="2"/>
        <v>4.504260528893242</v>
      </c>
    </row>
    <row r="47" spans="1:8" ht="25.5" customHeight="1">
      <c r="A47" s="73" t="s">
        <v>71</v>
      </c>
      <c r="B47" s="91" t="s">
        <v>79</v>
      </c>
      <c r="C47" s="81">
        <f>SUM(D47:F47)</f>
        <v>936000</v>
      </c>
      <c r="D47" s="81"/>
      <c r="E47" s="81"/>
      <c r="F47" s="81">
        <v>936000</v>
      </c>
      <c r="G47" s="81">
        <v>183954</v>
      </c>
      <c r="H47" s="68">
        <f t="shared" si="2"/>
        <v>19.65320512820513</v>
      </c>
    </row>
    <row r="48" spans="1:8" ht="44.25" customHeight="1">
      <c r="A48" s="73" t="s">
        <v>71</v>
      </c>
      <c r="B48" s="90" t="s">
        <v>87</v>
      </c>
      <c r="C48" s="81">
        <f>SUM(C49:C50)</f>
        <v>3148000</v>
      </c>
      <c r="D48" s="81">
        <f>SUM(D49:D50)</f>
        <v>0</v>
      </c>
      <c r="E48" s="81">
        <f>SUM(E49:E50)</f>
        <v>0</v>
      </c>
      <c r="F48" s="81">
        <f>SUM(F49:F50)</f>
        <v>3148000</v>
      </c>
      <c r="G48" s="81"/>
      <c r="H48" s="68">
        <f t="shared" si="2"/>
        <v>0</v>
      </c>
    </row>
    <row r="49" spans="1:8" ht="32.25" customHeight="1">
      <c r="A49" s="92"/>
      <c r="B49" s="93" t="s">
        <v>74</v>
      </c>
      <c r="C49" s="81">
        <f>SUM(D49:F49)</f>
        <v>2516000</v>
      </c>
      <c r="D49" s="89"/>
      <c r="E49" s="89"/>
      <c r="F49" s="89">
        <v>2516000</v>
      </c>
      <c r="G49" s="89"/>
      <c r="H49" s="68">
        <f t="shared" si="2"/>
        <v>0</v>
      </c>
    </row>
    <row r="50" spans="1:8" ht="32.25" customHeight="1">
      <c r="A50" s="92"/>
      <c r="B50" s="93" t="s">
        <v>75</v>
      </c>
      <c r="C50" s="81">
        <f>SUM(D50:F50)</f>
        <v>632000</v>
      </c>
      <c r="D50" s="89"/>
      <c r="E50" s="89"/>
      <c r="F50" s="89">
        <v>632000</v>
      </c>
      <c r="G50" s="89"/>
      <c r="H50" s="68">
        <f t="shared" si="2"/>
        <v>0</v>
      </c>
    </row>
    <row r="51" spans="1:8" ht="27.75" customHeight="1">
      <c r="A51" s="73" t="s">
        <v>30</v>
      </c>
      <c r="B51" s="74" t="s">
        <v>54</v>
      </c>
      <c r="C51" s="81">
        <f>C52+C53</f>
        <v>30553761.205</v>
      </c>
      <c r="D51" s="81">
        <f>D52+D53</f>
        <v>3612761.205</v>
      </c>
      <c r="E51" s="81">
        <f>E52+E53</f>
        <v>0</v>
      </c>
      <c r="F51" s="81">
        <f>F52+F53</f>
        <v>26941000</v>
      </c>
      <c r="G51" s="81">
        <f>G52+G53</f>
        <v>1984174</v>
      </c>
      <c r="H51" s="68">
        <f t="shared" si="2"/>
        <v>6.494041721041199</v>
      </c>
    </row>
    <row r="52" spans="1:8" ht="26.25" customHeight="1">
      <c r="A52" s="73" t="s">
        <v>43</v>
      </c>
      <c r="B52" s="74" t="s">
        <v>28</v>
      </c>
      <c r="C52" s="68">
        <f>SUM(D52:F52)</f>
        <v>26842761.205</v>
      </c>
      <c r="D52" s="94">
        <v>3542761.205</v>
      </c>
      <c r="E52" s="81"/>
      <c r="F52" s="81">
        <f>23300000</f>
        <v>23300000</v>
      </c>
      <c r="G52" s="81">
        <v>1949174</v>
      </c>
      <c r="H52" s="68">
        <f t="shared" si="2"/>
        <v>7.261451179012565</v>
      </c>
    </row>
    <row r="53" spans="1:8" ht="26.25" customHeight="1">
      <c r="A53" s="73" t="s">
        <v>43</v>
      </c>
      <c r="B53" s="74" t="s">
        <v>44</v>
      </c>
      <c r="C53" s="81">
        <f>SUM(C54:C57)</f>
        <v>3711000</v>
      </c>
      <c r="D53" s="81">
        <f>SUM(D54:D57)</f>
        <v>70000</v>
      </c>
      <c r="E53" s="81">
        <f>SUM(E54:E57)</f>
        <v>0</v>
      </c>
      <c r="F53" s="81">
        <f>SUM(F54:F57)</f>
        <v>3641000</v>
      </c>
      <c r="G53" s="81">
        <f>SUM(G54:G57)</f>
        <v>35000</v>
      </c>
      <c r="H53" s="68">
        <f t="shared" si="2"/>
        <v>0.9431420102398275</v>
      </c>
    </row>
    <row r="54" spans="1:8" ht="23.25" customHeight="1">
      <c r="A54" s="73" t="s">
        <v>71</v>
      </c>
      <c r="B54" s="91" t="s">
        <v>80</v>
      </c>
      <c r="C54" s="81">
        <f>SUM(D54:F54)</f>
        <v>3338000</v>
      </c>
      <c r="D54" s="81"/>
      <c r="E54" s="81"/>
      <c r="F54" s="81">
        <v>3338000</v>
      </c>
      <c r="G54" s="81"/>
      <c r="H54" s="68">
        <f t="shared" si="2"/>
        <v>0</v>
      </c>
    </row>
    <row r="55" spans="1:8" ht="24.75" customHeight="1">
      <c r="A55" s="73" t="s">
        <v>71</v>
      </c>
      <c r="B55" s="91" t="s">
        <v>81</v>
      </c>
      <c r="C55" s="81">
        <f>SUM(D55:F55)</f>
        <v>265000</v>
      </c>
      <c r="D55" s="81">
        <v>70000</v>
      </c>
      <c r="E55" s="81"/>
      <c r="F55" s="81">
        <v>195000</v>
      </c>
      <c r="G55" s="81">
        <v>35000</v>
      </c>
      <c r="H55" s="68">
        <f t="shared" si="2"/>
        <v>13.20754716981132</v>
      </c>
    </row>
    <row r="56" spans="1:8" ht="25.5" customHeight="1">
      <c r="A56" s="73" t="s">
        <v>71</v>
      </c>
      <c r="B56" s="74" t="s">
        <v>82</v>
      </c>
      <c r="C56" s="81">
        <f>SUM(D56:F56)</f>
        <v>8000</v>
      </c>
      <c r="D56" s="81"/>
      <c r="E56" s="81"/>
      <c r="F56" s="81">
        <v>8000</v>
      </c>
      <c r="G56" s="81"/>
      <c r="H56" s="68">
        <f t="shared" si="2"/>
        <v>0</v>
      </c>
    </row>
    <row r="57" spans="1:8" ht="24.75" customHeight="1">
      <c r="A57" s="73" t="s">
        <v>71</v>
      </c>
      <c r="B57" s="74" t="s">
        <v>83</v>
      </c>
      <c r="C57" s="81">
        <f>SUM(D57:F57)</f>
        <v>100000</v>
      </c>
      <c r="D57" s="81"/>
      <c r="E57" s="81"/>
      <c r="F57" s="81">
        <v>100000</v>
      </c>
      <c r="G57" s="81"/>
      <c r="H57" s="68">
        <f t="shared" si="2"/>
        <v>0</v>
      </c>
    </row>
    <row r="58" spans="1:8" ht="29.25" customHeight="1">
      <c r="A58" s="69">
        <v>2</v>
      </c>
      <c r="B58" s="70" t="s">
        <v>31</v>
      </c>
      <c r="C58" s="84">
        <f>C59+C62</f>
        <v>47106364.804000005</v>
      </c>
      <c r="D58" s="84">
        <f>D59+D62</f>
        <v>826080.12</v>
      </c>
      <c r="E58" s="84">
        <f>E59+E62</f>
        <v>12634000</v>
      </c>
      <c r="F58" s="84">
        <f>F59+F62</f>
        <v>33646284.684</v>
      </c>
      <c r="G58" s="84">
        <f>G59+G62</f>
        <v>15102900</v>
      </c>
      <c r="H58" s="77">
        <f t="shared" si="2"/>
        <v>32.061272532576204</v>
      </c>
    </row>
    <row r="59" spans="1:8" ht="21" customHeight="1">
      <c r="A59" s="95" t="s">
        <v>89</v>
      </c>
      <c r="B59" s="74" t="s">
        <v>28</v>
      </c>
      <c r="C59" s="81">
        <f>SUM(C60:C61)</f>
        <v>815676</v>
      </c>
      <c r="D59" s="81">
        <f>SUM(D60:D61)</f>
        <v>815676</v>
      </c>
      <c r="E59" s="81">
        <f>SUM(E60:E61)</f>
        <v>0</v>
      </c>
      <c r="F59" s="81">
        <f>SUM(F60:F61)</f>
        <v>0</v>
      </c>
      <c r="G59" s="81">
        <f>SUM(G60:G61)</f>
        <v>120000</v>
      </c>
      <c r="H59" s="68">
        <f>G59/C59*100</f>
        <v>14.711723772674446</v>
      </c>
    </row>
    <row r="60" spans="1:8" ht="21" customHeight="1">
      <c r="A60" s="95" t="s">
        <v>32</v>
      </c>
      <c r="B60" s="74" t="s">
        <v>88</v>
      </c>
      <c r="C60" s="68">
        <f aca="true" t="shared" si="3" ref="C60:C81">SUM(D60:F60)</f>
        <v>760000</v>
      </c>
      <c r="D60" s="81">
        <v>760000</v>
      </c>
      <c r="E60" s="81"/>
      <c r="F60" s="81"/>
      <c r="G60" s="96">
        <v>120000</v>
      </c>
      <c r="H60" s="68">
        <f>G60/C60*100</f>
        <v>15.789473684210526</v>
      </c>
    </row>
    <row r="61" spans="1:8" ht="21" customHeight="1">
      <c r="A61" s="95" t="s">
        <v>32</v>
      </c>
      <c r="B61" s="97" t="s">
        <v>84</v>
      </c>
      <c r="C61" s="68">
        <f>SUM(D61:F61)</f>
        <v>55676</v>
      </c>
      <c r="D61" s="98">
        <v>55676</v>
      </c>
      <c r="E61" s="81"/>
      <c r="F61" s="81"/>
      <c r="G61" s="96" t="s">
        <v>32</v>
      </c>
      <c r="H61" s="68"/>
    </row>
    <row r="62" spans="1:8" ht="21" customHeight="1">
      <c r="A62" s="95" t="s">
        <v>90</v>
      </c>
      <c r="B62" s="74" t="s">
        <v>29</v>
      </c>
      <c r="C62" s="81">
        <f>SUM(C63:C91)</f>
        <v>46290688.804000005</v>
      </c>
      <c r="D62" s="81">
        <f>SUM(D63:D91)</f>
        <v>10404.12</v>
      </c>
      <c r="E62" s="81">
        <f>SUM(E63:E91)</f>
        <v>12634000</v>
      </c>
      <c r="F62" s="81">
        <f>SUM(F63:F91)</f>
        <v>33646284.684</v>
      </c>
      <c r="G62" s="81">
        <f>SUM(G63:G91)</f>
        <v>14982900</v>
      </c>
      <c r="H62" s="68">
        <f>G62/C62*100</f>
        <v>32.36698434849239</v>
      </c>
    </row>
    <row r="63" spans="1:8" ht="32.25" customHeight="1">
      <c r="A63" s="95" t="s">
        <v>32</v>
      </c>
      <c r="B63" s="99" t="s">
        <v>33</v>
      </c>
      <c r="C63" s="68">
        <f t="shared" si="3"/>
        <v>2235000</v>
      </c>
      <c r="D63" s="81"/>
      <c r="E63" s="81">
        <v>2235000</v>
      </c>
      <c r="F63" s="96">
        <v>0</v>
      </c>
      <c r="G63" s="96">
        <v>917672</v>
      </c>
      <c r="H63" s="68">
        <f t="shared" si="2"/>
        <v>41.059149888143175</v>
      </c>
    </row>
    <row r="64" spans="1:8" ht="31.5" customHeight="1">
      <c r="A64" s="95" t="s">
        <v>32</v>
      </c>
      <c r="B64" s="99" t="s">
        <v>34</v>
      </c>
      <c r="C64" s="68">
        <f t="shared" si="3"/>
        <v>145000</v>
      </c>
      <c r="D64" s="81"/>
      <c r="E64" s="81">
        <v>145000</v>
      </c>
      <c r="F64" s="96"/>
      <c r="G64" s="96">
        <v>76100</v>
      </c>
      <c r="H64" s="68">
        <f t="shared" si="2"/>
        <v>52.48275862068965</v>
      </c>
    </row>
    <row r="65" spans="1:8" ht="48.75" customHeight="1">
      <c r="A65" s="95" t="s">
        <v>32</v>
      </c>
      <c r="B65" s="99" t="s">
        <v>35</v>
      </c>
      <c r="C65" s="68">
        <f>SUM(D65:F65)</f>
        <v>3814404.12</v>
      </c>
      <c r="D65" s="81">
        <v>10404.12</v>
      </c>
      <c r="E65" s="81">
        <v>3804000</v>
      </c>
      <c r="F65" s="96"/>
      <c r="G65" s="96">
        <v>1605400</v>
      </c>
      <c r="H65" s="68">
        <f t="shared" si="2"/>
        <v>42.0878320569767</v>
      </c>
    </row>
    <row r="66" spans="1:8" ht="35.25" customHeight="1">
      <c r="A66" s="95" t="s">
        <v>32</v>
      </c>
      <c r="B66" s="99" t="s">
        <v>36</v>
      </c>
      <c r="C66" s="68">
        <f t="shared" si="3"/>
        <v>913000</v>
      </c>
      <c r="D66" s="81"/>
      <c r="E66" s="81">
        <v>913000</v>
      </c>
      <c r="F66" s="96"/>
      <c r="G66" s="96"/>
      <c r="H66" s="68">
        <f t="shared" si="2"/>
        <v>0</v>
      </c>
    </row>
    <row r="67" spans="1:8" ht="27" customHeight="1">
      <c r="A67" s="95" t="s">
        <v>32</v>
      </c>
      <c r="B67" s="99" t="s">
        <v>37</v>
      </c>
      <c r="C67" s="68">
        <f t="shared" si="3"/>
        <v>7000</v>
      </c>
      <c r="D67" s="81"/>
      <c r="E67" s="81">
        <v>7000</v>
      </c>
      <c r="F67" s="96"/>
      <c r="G67" s="96"/>
      <c r="H67" s="68">
        <f t="shared" si="2"/>
        <v>0</v>
      </c>
    </row>
    <row r="68" spans="1:8" ht="29.25" customHeight="1">
      <c r="A68" s="95" t="s">
        <v>32</v>
      </c>
      <c r="B68" s="99" t="s">
        <v>38</v>
      </c>
      <c r="C68" s="68">
        <f t="shared" si="3"/>
        <v>505000</v>
      </c>
      <c r="D68" s="81"/>
      <c r="E68" s="81">
        <v>505000</v>
      </c>
      <c r="F68" s="96"/>
      <c r="G68" s="96">
        <v>313558</v>
      </c>
      <c r="H68" s="68">
        <f t="shared" si="2"/>
        <v>62.09069306930694</v>
      </c>
    </row>
    <row r="69" spans="1:8" ht="29.25" customHeight="1">
      <c r="A69" s="95" t="s">
        <v>32</v>
      </c>
      <c r="B69" s="99" t="s">
        <v>58</v>
      </c>
      <c r="C69" s="68">
        <f t="shared" si="3"/>
        <v>202000</v>
      </c>
      <c r="D69" s="81"/>
      <c r="E69" s="81">
        <v>202000</v>
      </c>
      <c r="F69" s="96"/>
      <c r="G69" s="96">
        <v>202000</v>
      </c>
      <c r="H69" s="68">
        <f t="shared" si="2"/>
        <v>100</v>
      </c>
    </row>
    <row r="70" spans="1:8" ht="21" customHeight="1">
      <c r="A70" s="95" t="s">
        <v>32</v>
      </c>
      <c r="B70" s="99" t="s">
        <v>39</v>
      </c>
      <c r="C70" s="68">
        <f t="shared" si="3"/>
        <v>1951000</v>
      </c>
      <c r="D70" s="81"/>
      <c r="E70" s="81">
        <v>1951000</v>
      </c>
      <c r="F70" s="96"/>
      <c r="G70" s="96">
        <v>542025</v>
      </c>
      <c r="H70" s="68">
        <f t="shared" si="2"/>
        <v>27.781906714505382</v>
      </c>
    </row>
    <row r="71" spans="1:8" ht="35.25" customHeight="1">
      <c r="A71" s="95" t="s">
        <v>32</v>
      </c>
      <c r="B71" s="99" t="s">
        <v>59</v>
      </c>
      <c r="C71" s="68">
        <f t="shared" si="3"/>
        <v>22000</v>
      </c>
      <c r="D71" s="81"/>
      <c r="E71" s="81">
        <v>22000</v>
      </c>
      <c r="F71" s="96"/>
      <c r="G71" s="96"/>
      <c r="H71" s="68">
        <f t="shared" si="2"/>
        <v>0</v>
      </c>
    </row>
    <row r="72" spans="1:8" ht="24.75" customHeight="1">
      <c r="A72" s="95" t="s">
        <v>32</v>
      </c>
      <c r="B72" s="99" t="s">
        <v>40</v>
      </c>
      <c r="C72" s="68">
        <f t="shared" si="3"/>
        <v>120000</v>
      </c>
      <c r="D72" s="81"/>
      <c r="E72" s="81">
        <v>120000</v>
      </c>
      <c r="F72" s="96"/>
      <c r="G72" s="96"/>
      <c r="H72" s="68">
        <f t="shared" si="2"/>
        <v>0</v>
      </c>
    </row>
    <row r="73" spans="1:8" ht="27" customHeight="1">
      <c r="A73" s="95" t="s">
        <v>32</v>
      </c>
      <c r="B73" s="99" t="s">
        <v>66</v>
      </c>
      <c r="C73" s="68">
        <f t="shared" si="3"/>
        <v>484826.684</v>
      </c>
      <c r="D73" s="81"/>
      <c r="E73" s="81">
        <v>188000</v>
      </c>
      <c r="F73" s="96">
        <v>296826.684</v>
      </c>
      <c r="G73" s="96"/>
      <c r="H73" s="68">
        <f t="shared" si="2"/>
        <v>0</v>
      </c>
    </row>
    <row r="74" spans="1:8" ht="33.75" customHeight="1">
      <c r="A74" s="95" t="s">
        <v>32</v>
      </c>
      <c r="B74" s="99" t="s">
        <v>41</v>
      </c>
      <c r="C74" s="68">
        <f t="shared" si="3"/>
        <v>70000</v>
      </c>
      <c r="D74" s="81"/>
      <c r="E74" s="81">
        <v>70000</v>
      </c>
      <c r="F74" s="96"/>
      <c r="G74" s="96">
        <v>70000</v>
      </c>
      <c r="H74" s="68">
        <f t="shared" si="2"/>
        <v>100</v>
      </c>
    </row>
    <row r="75" spans="1:8" ht="42" customHeight="1">
      <c r="A75" s="95" t="s">
        <v>32</v>
      </c>
      <c r="B75" s="99" t="s">
        <v>60</v>
      </c>
      <c r="C75" s="68">
        <f t="shared" si="3"/>
        <v>400000</v>
      </c>
      <c r="D75" s="81"/>
      <c r="E75" s="81">
        <v>400000</v>
      </c>
      <c r="F75" s="96"/>
      <c r="G75" s="96">
        <v>47982</v>
      </c>
      <c r="H75" s="68">
        <f>G75/C75*100</f>
        <v>11.9955</v>
      </c>
    </row>
    <row r="76" spans="1:8" ht="24" customHeight="1">
      <c r="A76" s="95" t="s">
        <v>32</v>
      </c>
      <c r="B76" s="99" t="s">
        <v>61</v>
      </c>
      <c r="C76" s="68">
        <f t="shared" si="3"/>
        <v>53000</v>
      </c>
      <c r="D76" s="81"/>
      <c r="E76" s="81">
        <v>53000</v>
      </c>
      <c r="F76" s="96"/>
      <c r="G76" s="96">
        <v>6290</v>
      </c>
      <c r="H76" s="68">
        <f t="shared" si="2"/>
        <v>11.867924528301886</v>
      </c>
    </row>
    <row r="77" spans="1:8" ht="24" customHeight="1">
      <c r="A77" s="95" t="s">
        <v>32</v>
      </c>
      <c r="B77" s="99" t="s">
        <v>62</v>
      </c>
      <c r="C77" s="68">
        <f t="shared" si="3"/>
        <v>25000</v>
      </c>
      <c r="D77" s="81"/>
      <c r="E77" s="81">
        <v>25000</v>
      </c>
      <c r="F77" s="96"/>
      <c r="G77" s="96">
        <v>25000</v>
      </c>
      <c r="H77" s="68">
        <f t="shared" si="2"/>
        <v>100</v>
      </c>
    </row>
    <row r="78" spans="1:8" ht="23.25" customHeight="1">
      <c r="A78" s="95" t="s">
        <v>32</v>
      </c>
      <c r="B78" s="99" t="s">
        <v>63</v>
      </c>
      <c r="C78" s="68">
        <f t="shared" si="3"/>
        <v>80000</v>
      </c>
      <c r="D78" s="81"/>
      <c r="E78" s="81">
        <v>80000</v>
      </c>
      <c r="F78" s="96"/>
      <c r="G78" s="96">
        <v>80000</v>
      </c>
      <c r="H78" s="68">
        <f t="shared" si="2"/>
        <v>100</v>
      </c>
    </row>
    <row r="79" spans="1:8" ht="23.25" customHeight="1">
      <c r="A79" s="95" t="s">
        <v>32</v>
      </c>
      <c r="B79" s="99" t="s">
        <v>64</v>
      </c>
      <c r="C79" s="68">
        <f t="shared" si="3"/>
        <v>3508000</v>
      </c>
      <c r="D79" s="81"/>
      <c r="E79" s="81">
        <v>1000000</v>
      </c>
      <c r="F79" s="96">
        <v>2508000</v>
      </c>
      <c r="G79" s="96"/>
      <c r="H79" s="68">
        <f t="shared" si="2"/>
        <v>0</v>
      </c>
    </row>
    <row r="80" spans="1:8" ht="22.5" customHeight="1">
      <c r="A80" s="95" t="s">
        <v>32</v>
      </c>
      <c r="B80" s="100" t="s">
        <v>67</v>
      </c>
      <c r="C80" s="68">
        <f t="shared" si="3"/>
        <v>304000</v>
      </c>
      <c r="D80" s="101"/>
      <c r="E80" s="101">
        <v>304000</v>
      </c>
      <c r="F80" s="102"/>
      <c r="G80" s="102">
        <v>40000</v>
      </c>
      <c r="H80" s="68">
        <f t="shared" si="2"/>
        <v>13.157894736842104</v>
      </c>
    </row>
    <row r="81" spans="1:8" ht="33" customHeight="1">
      <c r="A81" s="95" t="s">
        <v>32</v>
      </c>
      <c r="B81" s="100" t="s">
        <v>68</v>
      </c>
      <c r="C81" s="68">
        <f t="shared" si="3"/>
        <v>10000</v>
      </c>
      <c r="D81" s="101"/>
      <c r="E81" s="101">
        <v>10000</v>
      </c>
      <c r="F81" s="102"/>
      <c r="G81" s="102"/>
      <c r="H81" s="68">
        <f t="shared" si="2"/>
        <v>0</v>
      </c>
    </row>
    <row r="82" spans="1:8" ht="24" customHeight="1">
      <c r="A82" s="103" t="s">
        <v>32</v>
      </c>
      <c r="B82" s="100" t="s">
        <v>65</v>
      </c>
      <c r="C82" s="104">
        <f>SUM(D82:F82)</f>
        <v>600000</v>
      </c>
      <c r="D82" s="101"/>
      <c r="E82" s="101">
        <v>600000</v>
      </c>
      <c r="F82" s="102"/>
      <c r="G82" s="102">
        <v>59874</v>
      </c>
      <c r="H82" s="104">
        <f t="shared" si="2"/>
        <v>9.979000000000001</v>
      </c>
    </row>
    <row r="83" spans="1:8" ht="18" customHeight="1">
      <c r="A83" s="103" t="s">
        <v>32</v>
      </c>
      <c r="B83" s="105" t="s">
        <v>142</v>
      </c>
      <c r="C83" s="104">
        <f aca="true" t="shared" si="4" ref="C83:C91">SUM(D83:F83)</f>
        <v>1200748</v>
      </c>
      <c r="D83" s="105"/>
      <c r="E83" s="105"/>
      <c r="F83" s="96">
        <v>1200748</v>
      </c>
      <c r="G83" s="106">
        <f>F83</f>
        <v>1200748</v>
      </c>
      <c r="H83" s="104">
        <f t="shared" si="2"/>
        <v>100</v>
      </c>
    </row>
    <row r="84" spans="1:8" ht="18" customHeight="1">
      <c r="A84" s="103" t="s">
        <v>32</v>
      </c>
      <c r="B84" s="105" t="s">
        <v>143</v>
      </c>
      <c r="C84" s="104">
        <f t="shared" si="4"/>
        <v>543851</v>
      </c>
      <c r="D84" s="105"/>
      <c r="E84" s="105"/>
      <c r="F84" s="96">
        <v>543851</v>
      </c>
      <c r="G84" s="106">
        <f>F84</f>
        <v>543851</v>
      </c>
      <c r="H84" s="104">
        <f t="shared" si="2"/>
        <v>100</v>
      </c>
    </row>
    <row r="85" spans="1:8" ht="18" customHeight="1">
      <c r="A85" s="103" t="s">
        <v>32</v>
      </c>
      <c r="B85" s="105" t="s">
        <v>144</v>
      </c>
      <c r="C85" s="104">
        <f t="shared" si="4"/>
        <v>75396</v>
      </c>
      <c r="D85" s="105"/>
      <c r="E85" s="105"/>
      <c r="F85" s="96">
        <v>75396</v>
      </c>
      <c r="G85" s="107"/>
      <c r="H85" s="104">
        <f t="shared" si="2"/>
        <v>0</v>
      </c>
    </row>
    <row r="86" spans="1:8" ht="18" customHeight="1">
      <c r="A86" s="103" t="s">
        <v>32</v>
      </c>
      <c r="B86" s="105" t="s">
        <v>145</v>
      </c>
      <c r="C86" s="104">
        <f t="shared" si="4"/>
        <v>14757</v>
      </c>
      <c r="D86" s="105"/>
      <c r="E86" s="105"/>
      <c r="F86" s="96">
        <v>14757</v>
      </c>
      <c r="G86" s="107"/>
      <c r="H86" s="104">
        <f t="shared" si="2"/>
        <v>0</v>
      </c>
    </row>
    <row r="87" spans="1:8" ht="18" customHeight="1">
      <c r="A87" s="103" t="s">
        <v>32</v>
      </c>
      <c r="B87" s="105" t="s">
        <v>146</v>
      </c>
      <c r="C87" s="104">
        <f t="shared" si="4"/>
        <v>103487</v>
      </c>
      <c r="D87" s="105"/>
      <c r="E87" s="105"/>
      <c r="F87" s="96">
        <v>103487</v>
      </c>
      <c r="G87" s="107"/>
      <c r="H87" s="104">
        <f t="shared" si="2"/>
        <v>0</v>
      </c>
    </row>
    <row r="88" spans="1:8" ht="18" customHeight="1">
      <c r="A88" s="103" t="s">
        <v>32</v>
      </c>
      <c r="B88" s="105" t="s">
        <v>147</v>
      </c>
      <c r="C88" s="104">
        <f t="shared" si="4"/>
        <v>17289729</v>
      </c>
      <c r="D88" s="105"/>
      <c r="E88" s="105"/>
      <c r="F88" s="96">
        <v>17289729</v>
      </c>
      <c r="G88" s="96">
        <v>8788390</v>
      </c>
      <c r="H88" s="104">
        <f t="shared" si="2"/>
        <v>50.830120009399806</v>
      </c>
    </row>
    <row r="89" spans="1:8" ht="18" customHeight="1">
      <c r="A89" s="103" t="s">
        <v>32</v>
      </c>
      <c r="B89" s="105" t="s">
        <v>148</v>
      </c>
      <c r="C89" s="104">
        <f t="shared" si="4"/>
        <v>100000</v>
      </c>
      <c r="D89" s="105"/>
      <c r="E89" s="105"/>
      <c r="F89" s="96">
        <v>100000</v>
      </c>
      <c r="G89" s="107"/>
      <c r="H89" s="104">
        <f t="shared" si="2"/>
        <v>0</v>
      </c>
    </row>
    <row r="90" spans="1:8" ht="18" customHeight="1">
      <c r="A90" s="103" t="s">
        <v>32</v>
      </c>
      <c r="B90" s="105" t="s">
        <v>149</v>
      </c>
      <c r="C90" s="104">
        <f t="shared" si="4"/>
        <v>11049480</v>
      </c>
      <c r="D90" s="105"/>
      <c r="E90" s="105"/>
      <c r="F90" s="96">
        <v>11049480</v>
      </c>
      <c r="G90" s="107"/>
      <c r="H90" s="104">
        <f t="shared" si="2"/>
        <v>0</v>
      </c>
    </row>
    <row r="91" spans="1:8" ht="18" customHeight="1">
      <c r="A91" s="108" t="s">
        <v>32</v>
      </c>
      <c r="B91" s="109" t="s">
        <v>150</v>
      </c>
      <c r="C91" s="110">
        <f t="shared" si="4"/>
        <v>464010</v>
      </c>
      <c r="D91" s="109"/>
      <c r="E91" s="109"/>
      <c r="F91" s="111">
        <v>464010</v>
      </c>
      <c r="G91" s="112">
        <f>F91</f>
        <v>464010</v>
      </c>
      <c r="H91" s="110">
        <f t="shared" si="2"/>
        <v>100</v>
      </c>
    </row>
    <row r="92" ht="15">
      <c r="F92" s="113"/>
    </row>
    <row r="93" ht="15">
      <c r="F93" s="113"/>
    </row>
    <row r="94" ht="15">
      <c r="F94" s="113"/>
    </row>
    <row r="95" ht="15">
      <c r="F95" s="113"/>
    </row>
    <row r="96" ht="15">
      <c r="F96" s="113"/>
    </row>
    <row r="97" ht="15">
      <c r="F97" s="113"/>
    </row>
    <row r="98" ht="15">
      <c r="F98" s="113"/>
    </row>
    <row r="99" ht="15">
      <c r="F99" s="113"/>
    </row>
    <row r="100" ht="15">
      <c r="F100" s="113"/>
    </row>
    <row r="101" ht="15">
      <c r="F101" s="113"/>
    </row>
    <row r="102" ht="15">
      <c r="F102" s="113"/>
    </row>
    <row r="103" ht="15">
      <c r="F103" s="113"/>
    </row>
    <row r="104" ht="15">
      <c r="F104" s="113"/>
    </row>
    <row r="105" ht="15">
      <c r="F105" s="113"/>
    </row>
    <row r="106" ht="15">
      <c r="F106" s="113"/>
    </row>
    <row r="107" ht="15">
      <c r="F107" s="113"/>
    </row>
    <row r="108" ht="15">
      <c r="F108" s="113"/>
    </row>
    <row r="109" ht="15">
      <c r="F109" s="113"/>
    </row>
    <row r="110" ht="15">
      <c r="F110" s="113"/>
    </row>
    <row r="111" ht="15">
      <c r="F111" s="113"/>
    </row>
    <row r="112" ht="15">
      <c r="F112" s="113"/>
    </row>
    <row r="113" ht="15">
      <c r="F113" s="113"/>
    </row>
    <row r="114" ht="15">
      <c r="F114" s="113"/>
    </row>
    <row r="115" ht="15">
      <c r="F115" s="113"/>
    </row>
    <row r="116" ht="15">
      <c r="F116" s="72"/>
    </row>
  </sheetData>
  <sheetProtection/>
  <mergeCells count="13">
    <mergeCell ref="D6:D7"/>
    <mergeCell ref="E6:E7"/>
    <mergeCell ref="F6:F7"/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H10" sqref="H10"/>
    </sheetView>
  </sheetViews>
  <sheetFormatPr defaultColWidth="9.00390625" defaultRowHeight="14.25"/>
  <cols>
    <col min="1" max="1" width="6.125" style="31" customWidth="1"/>
    <col min="2" max="2" width="47.375" style="31" customWidth="1"/>
    <col min="3" max="3" width="10.75390625" style="31" customWidth="1"/>
    <col min="4" max="4" width="10.25390625" style="31" customWidth="1"/>
    <col min="5" max="5" width="12.75390625" style="31" customWidth="1"/>
    <col min="6" max="6" width="11.625" style="31" customWidth="1"/>
    <col min="7" max="7" width="11.50390625" style="31" customWidth="1"/>
    <col min="8" max="8" width="9.75390625" style="31" customWidth="1"/>
    <col min="9" max="9" width="13.875" style="31" bestFit="1" customWidth="1"/>
    <col min="10" max="10" width="14.125" style="31" customWidth="1"/>
    <col min="11" max="16384" width="9.00390625" style="31" customWidth="1"/>
  </cols>
  <sheetData>
    <row r="1" spans="1:8" ht="18.75" customHeight="1">
      <c r="A1" s="30" t="s">
        <v>56</v>
      </c>
      <c r="G1" s="385" t="s">
        <v>101</v>
      </c>
      <c r="H1" s="385"/>
    </row>
    <row r="2" spans="1:8" ht="41.25" customHeight="1">
      <c r="A2" s="386" t="s">
        <v>102</v>
      </c>
      <c r="B2" s="386"/>
      <c r="C2" s="386"/>
      <c r="D2" s="386"/>
      <c r="E2" s="386"/>
      <c r="F2" s="386"/>
      <c r="G2" s="386"/>
      <c r="H2" s="386"/>
    </row>
    <row r="3" spans="1:8" ht="20.25" customHeight="1">
      <c r="A3" s="401" t="s">
        <v>92</v>
      </c>
      <c r="B3" s="401"/>
      <c r="C3" s="401"/>
      <c r="D3" s="401"/>
      <c r="E3" s="401"/>
      <c r="F3" s="401"/>
      <c r="G3" s="401"/>
      <c r="H3" s="401"/>
    </row>
    <row r="4" spans="1:8" ht="19.5" customHeight="1">
      <c r="A4" s="387" t="s">
        <v>55</v>
      </c>
      <c r="B4" s="387"/>
      <c r="C4" s="387"/>
      <c r="D4" s="387"/>
      <c r="E4" s="387"/>
      <c r="F4" s="387"/>
      <c r="G4" s="387"/>
      <c r="H4" s="387"/>
    </row>
    <row r="5" spans="1:8" ht="17.25" customHeight="1">
      <c r="A5" s="388" t="s">
        <v>0</v>
      </c>
      <c r="B5" s="388" t="s">
        <v>6</v>
      </c>
      <c r="C5" s="389" t="s">
        <v>52</v>
      </c>
      <c r="D5" s="441"/>
      <c r="E5" s="441"/>
      <c r="F5" s="390"/>
      <c r="G5" s="395" t="s">
        <v>104</v>
      </c>
      <c r="H5" s="395" t="s">
        <v>42</v>
      </c>
    </row>
    <row r="6" spans="1:8" ht="29.25" customHeight="1">
      <c r="A6" s="388"/>
      <c r="B6" s="388"/>
      <c r="C6" s="439" t="s">
        <v>1</v>
      </c>
      <c r="D6" s="439" t="s">
        <v>49</v>
      </c>
      <c r="E6" s="439" t="s">
        <v>50</v>
      </c>
      <c r="F6" s="439" t="s">
        <v>2</v>
      </c>
      <c r="G6" s="396"/>
      <c r="H6" s="396"/>
    </row>
    <row r="7" spans="1:8" ht="37.5" customHeight="1">
      <c r="A7" s="388"/>
      <c r="B7" s="388"/>
      <c r="C7" s="440"/>
      <c r="D7" s="440"/>
      <c r="E7" s="440"/>
      <c r="F7" s="440"/>
      <c r="G7" s="397"/>
      <c r="H7" s="397"/>
    </row>
    <row r="8" spans="1:8" ht="15">
      <c r="A8" s="1" t="s">
        <v>7</v>
      </c>
      <c r="B8" s="1" t="s">
        <v>8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 t="s">
        <v>51</v>
      </c>
    </row>
    <row r="9" spans="1:8" ht="15">
      <c r="A9" s="2"/>
      <c r="B9" s="3" t="s">
        <v>9</v>
      </c>
      <c r="C9" s="12">
        <f>C10+C32</f>
        <v>433565472.512</v>
      </c>
      <c r="D9" s="12">
        <f>D10+D32</f>
        <v>16382547.828</v>
      </c>
      <c r="E9" s="12">
        <f>E10+E32</f>
        <v>337902000</v>
      </c>
      <c r="F9" s="12">
        <f>F10+F32</f>
        <v>79280924.684</v>
      </c>
      <c r="G9" s="12">
        <f>G10+G32</f>
        <v>149159250</v>
      </c>
      <c r="H9" s="14">
        <f>G9/C9*100</f>
        <v>34.40293553261939</v>
      </c>
    </row>
    <row r="10" spans="1:8" ht="15">
      <c r="A10" s="4" t="s">
        <v>7</v>
      </c>
      <c r="B10" s="5" t="s">
        <v>10</v>
      </c>
      <c r="C10" s="13">
        <f>C11+C17+C31</f>
        <v>332140772.503</v>
      </c>
      <c r="D10" s="13">
        <f>D11+D17+D31</f>
        <v>2837674.503</v>
      </c>
      <c r="E10" s="13">
        <f>E11+E17+E31</f>
        <v>325268000</v>
      </c>
      <c r="F10" s="13">
        <f>F11+F17+F31</f>
        <v>4035098</v>
      </c>
      <c r="G10" s="13">
        <f>G11+G17+G31</f>
        <v>136942623</v>
      </c>
      <c r="H10" s="14">
        <f>G10/C10*100</f>
        <v>41.230295807408915</v>
      </c>
    </row>
    <row r="11" spans="1:9" ht="15">
      <c r="A11" s="4" t="s">
        <v>3</v>
      </c>
      <c r="B11" s="5" t="s">
        <v>11</v>
      </c>
      <c r="C11" s="13">
        <f>SUM(C12:C16)</f>
        <v>16631075</v>
      </c>
      <c r="D11" s="13">
        <f>SUM(D12:D16)</f>
        <v>1859567</v>
      </c>
      <c r="E11" s="13">
        <f>SUM(E12:E16)</f>
        <v>14771508</v>
      </c>
      <c r="F11" s="13">
        <f>SUM(F12:F16)</f>
        <v>0</v>
      </c>
      <c r="G11" s="13">
        <f>SUM(G12:G16)</f>
        <v>11103846</v>
      </c>
      <c r="H11" s="14">
        <f>G11/C11*100</f>
        <v>66.76565405423281</v>
      </c>
      <c r="I11" s="32"/>
    </row>
    <row r="12" spans="1:9" ht="20.25" customHeight="1">
      <c r="A12" s="6">
        <v>1</v>
      </c>
      <c r="B12" s="7" t="s">
        <v>45</v>
      </c>
      <c r="C12" s="14">
        <f>SUM(D12:F12)</f>
        <v>7411000</v>
      </c>
      <c r="D12" s="14"/>
      <c r="E12" s="14">
        <v>7411000</v>
      </c>
      <c r="F12" s="14"/>
      <c r="G12" s="14">
        <f>6006000+706846</f>
        <v>6712846</v>
      </c>
      <c r="H12" s="14">
        <f>G12/C12*100</f>
        <v>90.57948994737552</v>
      </c>
      <c r="I12" s="32"/>
    </row>
    <row r="13" spans="1:9" ht="15">
      <c r="A13" s="6">
        <v>2</v>
      </c>
      <c r="B13" s="7" t="s">
        <v>46</v>
      </c>
      <c r="C13" s="14">
        <f aca="true" t="shared" si="0" ref="C13:C31">SUM(D13:F13)</f>
        <v>1000000</v>
      </c>
      <c r="D13" s="14"/>
      <c r="E13" s="14">
        <v>1000000</v>
      </c>
      <c r="F13" s="14"/>
      <c r="G13" s="14">
        <v>0</v>
      </c>
      <c r="H13" s="14"/>
      <c r="I13" s="32"/>
    </row>
    <row r="14" spans="1:8" ht="15">
      <c r="A14" s="6">
        <v>3</v>
      </c>
      <c r="B14" s="7" t="s">
        <v>47</v>
      </c>
      <c r="C14" s="14">
        <f t="shared" si="0"/>
        <v>417922</v>
      </c>
      <c r="D14" s="14">
        <v>164922</v>
      </c>
      <c r="E14" s="14">
        <v>253000</v>
      </c>
      <c r="F14" s="14"/>
      <c r="G14" s="14">
        <v>0</v>
      </c>
      <c r="H14" s="14"/>
    </row>
    <row r="15" spans="1:9" ht="15">
      <c r="A15" s="6">
        <v>4</v>
      </c>
      <c r="B15" s="7" t="s">
        <v>57</v>
      </c>
      <c r="C15" s="14">
        <f t="shared" si="0"/>
        <v>6610153</v>
      </c>
      <c r="D15" s="33">
        <v>502645</v>
      </c>
      <c r="E15" s="14">
        <v>6107508</v>
      </c>
      <c r="F15" s="14"/>
      <c r="G15" s="14">
        <v>3199000</v>
      </c>
      <c r="H15" s="14">
        <f>G15/C15*100</f>
        <v>48.3952489450698</v>
      </c>
      <c r="I15" s="34"/>
    </row>
    <row r="16" spans="1:8" ht="15">
      <c r="A16" s="6">
        <v>5</v>
      </c>
      <c r="B16" s="7" t="s">
        <v>85</v>
      </c>
      <c r="C16" s="14">
        <f t="shared" si="0"/>
        <v>1192000</v>
      </c>
      <c r="D16" s="14">
        <v>1192000</v>
      </c>
      <c r="E16" s="14"/>
      <c r="F16" s="14"/>
      <c r="G16" s="14">
        <f>D16</f>
        <v>1192000</v>
      </c>
      <c r="H16" s="14">
        <f>G16/C16*100</f>
        <v>100</v>
      </c>
    </row>
    <row r="17" spans="1:8" ht="15">
      <c r="A17" s="4" t="s">
        <v>5</v>
      </c>
      <c r="B17" s="5" t="s">
        <v>4</v>
      </c>
      <c r="C17" s="13">
        <f>SUM(C18:C30)</f>
        <v>308809847.503</v>
      </c>
      <c r="D17" s="13">
        <f>SUM(D18:D30)</f>
        <v>911497.503</v>
      </c>
      <c r="E17" s="13">
        <f>SUM(E18:E30)</f>
        <v>303863252</v>
      </c>
      <c r="F17" s="13">
        <f>SUM(F18:F30)</f>
        <v>4035098</v>
      </c>
      <c r="G17" s="13">
        <f>SUM(G18:G30)</f>
        <v>125700609</v>
      </c>
      <c r="H17" s="13"/>
    </row>
    <row r="18" spans="1:8" ht="15">
      <c r="A18" s="6">
        <v>1</v>
      </c>
      <c r="B18" s="8" t="s">
        <v>12</v>
      </c>
      <c r="C18" s="14">
        <f t="shared" si="0"/>
        <v>16427761</v>
      </c>
      <c r="D18" s="15">
        <f>310000+170000</f>
        <v>480000</v>
      </c>
      <c r="E18" s="15">
        <v>13196000</v>
      </c>
      <c r="F18" s="35">
        <f>525000+1685040+464010+77711</f>
        <v>2751761</v>
      </c>
      <c r="G18" s="15">
        <f>1239650+56000-G53-G31</f>
        <v>1133982</v>
      </c>
      <c r="H18" s="14">
        <f>G18/C18*100</f>
        <v>6.902839650515976</v>
      </c>
    </row>
    <row r="19" spans="1:8" ht="15">
      <c r="A19" s="6">
        <v>2</v>
      </c>
      <c r="B19" s="8" t="s">
        <v>13</v>
      </c>
      <c r="C19" s="14">
        <f t="shared" si="0"/>
        <v>171553519.219</v>
      </c>
      <c r="D19" s="15">
        <v>230614.219</v>
      </c>
      <c r="E19" s="15">
        <v>170992000</v>
      </c>
      <c r="F19" s="15">
        <v>330905</v>
      </c>
      <c r="G19" s="15">
        <f>75021656-G65-G68-G69-G77</f>
        <v>72875698</v>
      </c>
      <c r="H19" s="14">
        <f aca="true" t="shared" si="1" ref="H19:H31">G19/C19*100</f>
        <v>42.47986187154173</v>
      </c>
    </row>
    <row r="20" spans="1:8" ht="15">
      <c r="A20" s="6">
        <v>3</v>
      </c>
      <c r="B20" s="8" t="s">
        <v>14</v>
      </c>
      <c r="C20" s="14">
        <f t="shared" si="0"/>
        <v>0</v>
      </c>
      <c r="D20" s="15"/>
      <c r="E20" s="15"/>
      <c r="F20" s="15"/>
      <c r="G20" s="15"/>
      <c r="H20" s="14"/>
    </row>
    <row r="21" spans="1:8" ht="15">
      <c r="A21" s="6">
        <v>4</v>
      </c>
      <c r="B21" s="8" t="s">
        <v>15</v>
      </c>
      <c r="C21" s="14">
        <f t="shared" si="0"/>
        <v>0</v>
      </c>
      <c r="D21" s="15"/>
      <c r="E21" s="15"/>
      <c r="F21" s="15"/>
      <c r="G21" s="15"/>
      <c r="H21" s="14"/>
    </row>
    <row r="22" spans="1:8" ht="15">
      <c r="A22" s="6">
        <v>5</v>
      </c>
      <c r="B22" s="8" t="s">
        <v>16</v>
      </c>
      <c r="C22" s="14">
        <f t="shared" si="0"/>
        <v>400000</v>
      </c>
      <c r="D22" s="15"/>
      <c r="E22" s="15">
        <v>400000</v>
      </c>
      <c r="F22" s="15"/>
      <c r="G22" s="15">
        <v>205382</v>
      </c>
      <c r="H22" s="14">
        <f t="shared" si="1"/>
        <v>51.3455</v>
      </c>
    </row>
    <row r="23" spans="1:8" ht="15">
      <c r="A23" s="6">
        <v>6</v>
      </c>
      <c r="B23" s="8" t="s">
        <v>17</v>
      </c>
      <c r="C23" s="14">
        <f t="shared" si="0"/>
        <v>1098156</v>
      </c>
      <c r="D23" s="15"/>
      <c r="E23" s="15">
        <v>1098156</v>
      </c>
      <c r="F23" s="15"/>
      <c r="G23" s="15">
        <f>331212+107263</f>
        <v>438475</v>
      </c>
      <c r="H23" s="14">
        <f t="shared" si="1"/>
        <v>39.928297983164505</v>
      </c>
    </row>
    <row r="24" spans="1:8" ht="15">
      <c r="A24" s="6">
        <v>7</v>
      </c>
      <c r="B24" s="8" t="s">
        <v>18</v>
      </c>
      <c r="C24" s="14">
        <f t="shared" si="0"/>
        <v>237371</v>
      </c>
      <c r="D24" s="15"/>
      <c r="E24" s="15">
        <v>237371</v>
      </c>
      <c r="F24" s="15"/>
      <c r="G24" s="15">
        <v>156390</v>
      </c>
      <c r="H24" s="14">
        <f t="shared" si="1"/>
        <v>65.88420657957374</v>
      </c>
    </row>
    <row r="25" spans="1:8" ht="15">
      <c r="A25" s="6">
        <v>8</v>
      </c>
      <c r="B25" s="8" t="s">
        <v>19</v>
      </c>
      <c r="C25" s="14">
        <f t="shared" si="0"/>
        <v>1483342</v>
      </c>
      <c r="D25" s="15"/>
      <c r="E25" s="15">
        <v>1483342</v>
      </c>
      <c r="F25" s="15"/>
      <c r="G25" s="15">
        <f>458825+32132</f>
        <v>490957</v>
      </c>
      <c r="H25" s="14">
        <f t="shared" si="1"/>
        <v>33.098031337345</v>
      </c>
    </row>
    <row r="26" spans="1:8" ht="15">
      <c r="A26" s="6">
        <v>9</v>
      </c>
      <c r="B26" s="8" t="s">
        <v>20</v>
      </c>
      <c r="C26" s="14">
        <f t="shared" si="0"/>
        <v>8716300</v>
      </c>
      <c r="D26" s="15"/>
      <c r="E26" s="15">
        <v>8556000</v>
      </c>
      <c r="F26" s="15">
        <f>68800+91500</f>
        <v>160300</v>
      </c>
      <c r="G26" s="15">
        <f>4015779+536370+702219-G80</f>
        <v>5236368</v>
      </c>
      <c r="H26" s="14">
        <f t="shared" si="1"/>
        <v>60.07558252928421</v>
      </c>
    </row>
    <row r="27" spans="1:8" ht="15">
      <c r="A27" s="6">
        <v>10</v>
      </c>
      <c r="B27" s="8" t="s">
        <v>21</v>
      </c>
      <c r="C27" s="14">
        <f t="shared" si="0"/>
        <v>90145877.284</v>
      </c>
      <c r="D27" s="18">
        <f>23200.797+20000+27682.487</f>
        <v>70883.284</v>
      </c>
      <c r="E27" s="15">
        <v>89282862</v>
      </c>
      <c r="F27" s="15">
        <v>792132</v>
      </c>
      <c r="G27" s="15">
        <f>11825440+25122656+109067+18975+87180-G64-G75-G78+350000+554974</f>
        <v>37917932</v>
      </c>
      <c r="H27" s="14">
        <f t="shared" si="1"/>
        <v>42.06285760639001</v>
      </c>
    </row>
    <row r="28" spans="1:8" ht="15">
      <c r="A28" s="6">
        <v>11</v>
      </c>
      <c r="B28" s="9" t="s">
        <v>22</v>
      </c>
      <c r="C28" s="14">
        <f t="shared" si="0"/>
        <v>3346521</v>
      </c>
      <c r="D28" s="15">
        <v>130000</v>
      </c>
      <c r="E28" s="15">
        <v>3216521</v>
      </c>
      <c r="F28" s="15"/>
      <c r="G28" s="15">
        <f>1005076+1735193-G74</f>
        <v>2670269</v>
      </c>
      <c r="H28" s="14">
        <f t="shared" si="1"/>
        <v>79.79238737781714</v>
      </c>
    </row>
    <row r="29" spans="1:8" ht="15">
      <c r="A29" s="6">
        <v>12</v>
      </c>
      <c r="B29" s="10" t="s">
        <v>23</v>
      </c>
      <c r="C29" s="14">
        <f t="shared" si="0"/>
        <v>6654000</v>
      </c>
      <c r="D29" s="15"/>
      <c r="E29" s="15">
        <v>6654000</v>
      </c>
      <c r="F29" s="15"/>
      <c r="G29" s="15">
        <f>1524770+3050386</f>
        <v>4575156</v>
      </c>
      <c r="H29" s="14">
        <f t="shared" si="1"/>
        <v>68.75798016230839</v>
      </c>
    </row>
    <row r="30" spans="1:8" ht="15">
      <c r="A30" s="6">
        <v>13</v>
      </c>
      <c r="B30" s="10" t="s">
        <v>91</v>
      </c>
      <c r="C30" s="14">
        <f t="shared" si="0"/>
        <v>8747000</v>
      </c>
      <c r="D30" s="15"/>
      <c r="E30" s="15">
        <v>8747000</v>
      </c>
      <c r="F30" s="15"/>
      <c r="G30" s="15">
        <v>0</v>
      </c>
      <c r="H30" s="14">
        <f t="shared" si="1"/>
        <v>0</v>
      </c>
    </row>
    <row r="31" spans="1:8" ht="24.75" customHeight="1">
      <c r="A31" s="4" t="s">
        <v>24</v>
      </c>
      <c r="B31" s="5" t="s">
        <v>25</v>
      </c>
      <c r="C31" s="13">
        <f t="shared" si="0"/>
        <v>6699850</v>
      </c>
      <c r="D31" s="17">
        <f>36000+30610</f>
        <v>66610</v>
      </c>
      <c r="E31" s="17">
        <f>7020000-386760</f>
        <v>6633240</v>
      </c>
      <c r="F31" s="17"/>
      <c r="G31" s="17">
        <f>96450+41718</f>
        <v>138168</v>
      </c>
      <c r="H31" s="14">
        <f t="shared" si="1"/>
        <v>2.0622551251147416</v>
      </c>
    </row>
    <row r="32" spans="1:8" ht="47.25" customHeight="1">
      <c r="A32" s="4" t="s">
        <v>8</v>
      </c>
      <c r="B32" s="5" t="s">
        <v>48</v>
      </c>
      <c r="C32" s="17">
        <f>C33+C58</f>
        <v>101424700.009</v>
      </c>
      <c r="D32" s="17">
        <f>D33+D58</f>
        <v>13544873.325</v>
      </c>
      <c r="E32" s="17">
        <f>E33+E58</f>
        <v>12634000</v>
      </c>
      <c r="F32" s="17">
        <f>F33+F58</f>
        <v>75245826.684</v>
      </c>
      <c r="G32" s="17">
        <f>G33+G58</f>
        <v>12216627</v>
      </c>
      <c r="H32" s="17"/>
    </row>
    <row r="33" spans="1:8" ht="21.75" customHeight="1">
      <c r="A33" s="4">
        <v>1</v>
      </c>
      <c r="B33" s="5" t="s">
        <v>26</v>
      </c>
      <c r="C33" s="17">
        <f>C34+C51</f>
        <v>87667793.205</v>
      </c>
      <c r="D33" s="17">
        <f>D34+D51</f>
        <v>12718793.205</v>
      </c>
      <c r="E33" s="17">
        <f>E34+E51</f>
        <v>0</v>
      </c>
      <c r="F33" s="17">
        <f>F34+F51</f>
        <v>74949000</v>
      </c>
      <c r="G33" s="17">
        <f>G34+G51</f>
        <v>9752309</v>
      </c>
      <c r="H33" s="17"/>
    </row>
    <row r="34" spans="1:8" ht="21" customHeight="1">
      <c r="A34" s="6" t="s">
        <v>27</v>
      </c>
      <c r="B34" s="7" t="s">
        <v>53</v>
      </c>
      <c r="C34" s="18">
        <f>C35+C38</f>
        <v>57114032</v>
      </c>
      <c r="D34" s="18">
        <f>D35+D38</f>
        <v>9106032</v>
      </c>
      <c r="E34" s="18">
        <f>E35+E38</f>
        <v>0</v>
      </c>
      <c r="F34" s="18">
        <f>F35+F38</f>
        <v>48008000</v>
      </c>
      <c r="G34" s="18">
        <f>G35+G38</f>
        <v>9358084</v>
      </c>
      <c r="H34" s="16"/>
    </row>
    <row r="35" spans="1:8" ht="22.5" customHeight="1">
      <c r="A35" s="6" t="s">
        <v>43</v>
      </c>
      <c r="B35" s="7" t="s">
        <v>28</v>
      </c>
      <c r="C35" s="18">
        <f>SUM(C36:C37)</f>
        <v>44057032</v>
      </c>
      <c r="D35" s="18">
        <f>SUM(D36:D37)</f>
        <v>9106032</v>
      </c>
      <c r="E35" s="18">
        <f>SUM(E36:E37)</f>
        <v>0</v>
      </c>
      <c r="F35" s="18">
        <f>SUM(F36:F37)</f>
        <v>34951000</v>
      </c>
      <c r="G35" s="18">
        <f>SUM(G36:G37)</f>
        <v>9358084</v>
      </c>
      <c r="H35" s="14">
        <f>G35/C35*100</f>
        <v>21.240840735708208</v>
      </c>
    </row>
    <row r="36" spans="1:8" ht="22.5" customHeight="1">
      <c r="A36" s="6" t="s">
        <v>71</v>
      </c>
      <c r="B36" s="7" t="s">
        <v>69</v>
      </c>
      <c r="C36" s="14">
        <f>SUM(D36:F36)</f>
        <v>21313592</v>
      </c>
      <c r="D36" s="18">
        <v>6083592</v>
      </c>
      <c r="E36" s="18"/>
      <c r="F36" s="18">
        <v>15230000</v>
      </c>
      <c r="G36" s="18">
        <f>500000+2650000</f>
        <v>3150000</v>
      </c>
      <c r="H36" s="14">
        <f>G36/C36*100</f>
        <v>14.779301396029352</v>
      </c>
    </row>
    <row r="37" spans="1:8" ht="22.5" customHeight="1">
      <c r="A37" s="6" t="s">
        <v>71</v>
      </c>
      <c r="B37" s="7" t="s">
        <v>70</v>
      </c>
      <c r="C37" s="14">
        <f>SUM(D37:F37)</f>
        <v>22743440</v>
      </c>
      <c r="D37" s="18">
        <v>3022440</v>
      </c>
      <c r="E37" s="18"/>
      <c r="F37" s="36">
        <v>19721000</v>
      </c>
      <c r="G37" s="18">
        <v>6208084</v>
      </c>
      <c r="H37" s="14">
        <f>G37/C37*100</f>
        <v>27.296152209164486</v>
      </c>
    </row>
    <row r="38" spans="1:8" ht="28.5" customHeight="1">
      <c r="A38" s="6" t="s">
        <v>43</v>
      </c>
      <c r="B38" s="7" t="s">
        <v>44</v>
      </c>
      <c r="C38" s="18">
        <f>C39+C44+C45+C46</f>
        <v>13057000</v>
      </c>
      <c r="D38" s="18">
        <f>D39+D44+D45+D46</f>
        <v>0</v>
      </c>
      <c r="E38" s="18">
        <f>E39+E44+E45+E46</f>
        <v>0</v>
      </c>
      <c r="F38" s="18">
        <f>F39+F44+F45+F46</f>
        <v>13057000</v>
      </c>
      <c r="G38" s="18">
        <f>G39+G44+G45+G46</f>
        <v>0</v>
      </c>
      <c r="H38" s="14">
        <f aca="true" t="shared" si="2" ref="H38:H82">G38/C38*100</f>
        <v>0</v>
      </c>
    </row>
    <row r="39" spans="1:8" ht="23.25" customHeight="1">
      <c r="A39" s="6" t="s">
        <v>32</v>
      </c>
      <c r="B39" s="37" t="s">
        <v>72</v>
      </c>
      <c r="C39" s="18">
        <f>C40+C43</f>
        <v>8890000</v>
      </c>
      <c r="D39" s="18">
        <f>D40+D43</f>
        <v>0</v>
      </c>
      <c r="E39" s="18">
        <f>E40+E43</f>
        <v>0</v>
      </c>
      <c r="F39" s="18">
        <f>F40+F43</f>
        <v>8890000</v>
      </c>
      <c r="G39" s="18">
        <f>G40+G43</f>
        <v>0</v>
      </c>
      <c r="H39" s="14">
        <f t="shared" si="2"/>
        <v>0</v>
      </c>
    </row>
    <row r="40" spans="1:8" ht="38.25" customHeight="1">
      <c r="A40" s="6" t="s">
        <v>71</v>
      </c>
      <c r="B40" s="38" t="s">
        <v>73</v>
      </c>
      <c r="C40" s="18">
        <f>SUM(C41:C42)</f>
        <v>8392000</v>
      </c>
      <c r="D40" s="18"/>
      <c r="E40" s="18"/>
      <c r="F40" s="18">
        <f>SUM(F41:F42)</f>
        <v>8392000</v>
      </c>
      <c r="G40" s="18">
        <v>0</v>
      </c>
      <c r="H40" s="14">
        <f t="shared" si="2"/>
        <v>0</v>
      </c>
    </row>
    <row r="41" spans="1:8" ht="22.5" customHeight="1">
      <c r="A41" s="6"/>
      <c r="B41" s="39" t="s">
        <v>74</v>
      </c>
      <c r="C41" s="14">
        <f>SUM(D41:F41)</f>
        <v>6734000</v>
      </c>
      <c r="D41" s="23"/>
      <c r="E41" s="23"/>
      <c r="F41" s="23">
        <v>6734000</v>
      </c>
      <c r="G41" s="23">
        <v>0</v>
      </c>
      <c r="H41" s="14">
        <f t="shared" si="2"/>
        <v>0</v>
      </c>
    </row>
    <row r="42" spans="1:8" ht="22.5" customHeight="1">
      <c r="A42" s="6"/>
      <c r="B42" s="39" t="s">
        <v>75</v>
      </c>
      <c r="C42" s="14">
        <f>SUM(D42:F42)</f>
        <v>1658000</v>
      </c>
      <c r="D42" s="23"/>
      <c r="E42" s="23"/>
      <c r="F42" s="23">
        <v>1658000</v>
      </c>
      <c r="G42" s="23">
        <v>0</v>
      </c>
      <c r="H42" s="14">
        <f t="shared" si="2"/>
        <v>0</v>
      </c>
    </row>
    <row r="43" spans="1:8" ht="32.25" customHeight="1">
      <c r="A43" s="6" t="s">
        <v>71</v>
      </c>
      <c r="B43" s="40" t="s">
        <v>86</v>
      </c>
      <c r="C43" s="14">
        <f>SUM(D43:F43)</f>
        <v>498000</v>
      </c>
      <c r="D43" s="18"/>
      <c r="E43" s="18"/>
      <c r="F43" s="18">
        <v>498000</v>
      </c>
      <c r="G43" s="18">
        <v>0</v>
      </c>
      <c r="H43" s="14">
        <f t="shared" si="2"/>
        <v>0</v>
      </c>
    </row>
    <row r="44" spans="1:8" ht="27.75" customHeight="1">
      <c r="A44" s="6" t="s">
        <v>32</v>
      </c>
      <c r="B44" s="37" t="s">
        <v>76</v>
      </c>
      <c r="C44" s="14">
        <f>SUM(D44:F44)</f>
        <v>23000</v>
      </c>
      <c r="D44" s="18"/>
      <c r="E44" s="18"/>
      <c r="F44" s="18">
        <v>23000</v>
      </c>
      <c r="G44" s="18">
        <v>0</v>
      </c>
      <c r="H44" s="14">
        <f t="shared" si="2"/>
        <v>0</v>
      </c>
    </row>
    <row r="45" spans="1:8" ht="22.5" customHeight="1">
      <c r="A45" s="6" t="s">
        <v>32</v>
      </c>
      <c r="B45" s="40" t="s">
        <v>77</v>
      </c>
      <c r="C45" s="18">
        <f>SUM(D45:F45)</f>
        <v>60000</v>
      </c>
      <c r="D45" s="18"/>
      <c r="E45" s="18"/>
      <c r="F45" s="18">
        <v>60000</v>
      </c>
      <c r="G45" s="18">
        <v>0</v>
      </c>
      <c r="H45" s="14">
        <f t="shared" si="2"/>
        <v>0</v>
      </c>
    </row>
    <row r="46" spans="1:8" ht="23.25" customHeight="1">
      <c r="A46" s="6" t="s">
        <v>32</v>
      </c>
      <c r="B46" s="37" t="s">
        <v>78</v>
      </c>
      <c r="C46" s="18">
        <f>C47+C48</f>
        <v>4084000</v>
      </c>
      <c r="D46" s="18">
        <f>D47+D48</f>
        <v>0</v>
      </c>
      <c r="E46" s="18">
        <f>E47+E48</f>
        <v>0</v>
      </c>
      <c r="F46" s="18">
        <f>F47+F48</f>
        <v>4084000</v>
      </c>
      <c r="G46" s="18">
        <f>G47+G48</f>
        <v>0</v>
      </c>
      <c r="H46" s="14">
        <f t="shared" si="2"/>
        <v>0</v>
      </c>
    </row>
    <row r="47" spans="1:8" ht="25.5" customHeight="1">
      <c r="A47" s="6" t="s">
        <v>71</v>
      </c>
      <c r="B47" s="37" t="s">
        <v>79</v>
      </c>
      <c r="C47" s="18">
        <f>SUM(D47:F47)</f>
        <v>936000</v>
      </c>
      <c r="D47" s="18"/>
      <c r="E47" s="18"/>
      <c r="F47" s="18">
        <v>936000</v>
      </c>
      <c r="G47" s="18">
        <v>0</v>
      </c>
      <c r="H47" s="14">
        <f t="shared" si="2"/>
        <v>0</v>
      </c>
    </row>
    <row r="48" spans="1:8" ht="44.25" customHeight="1">
      <c r="A48" s="6" t="s">
        <v>71</v>
      </c>
      <c r="B48" s="40" t="s">
        <v>87</v>
      </c>
      <c r="C48" s="18">
        <f>SUM(C49:C50)</f>
        <v>3148000</v>
      </c>
      <c r="D48" s="18">
        <f>SUM(D49:D50)</f>
        <v>0</v>
      </c>
      <c r="E48" s="18">
        <f>SUM(E49:E50)</f>
        <v>0</v>
      </c>
      <c r="F48" s="18">
        <f>SUM(F49:F50)</f>
        <v>3148000</v>
      </c>
      <c r="G48" s="18">
        <f>SUM(G49:G50)</f>
        <v>0</v>
      </c>
      <c r="H48" s="14">
        <f t="shared" si="2"/>
        <v>0</v>
      </c>
    </row>
    <row r="49" spans="1:8" ht="32.25" customHeight="1">
      <c r="A49" s="24"/>
      <c r="B49" s="41" t="s">
        <v>74</v>
      </c>
      <c r="C49" s="18">
        <f>SUM(D49:F49)</f>
        <v>2516000</v>
      </c>
      <c r="D49" s="23"/>
      <c r="E49" s="23"/>
      <c r="F49" s="23">
        <v>2516000</v>
      </c>
      <c r="G49" s="23">
        <v>0</v>
      </c>
      <c r="H49" s="14">
        <f t="shared" si="2"/>
        <v>0</v>
      </c>
    </row>
    <row r="50" spans="1:8" ht="32.25" customHeight="1">
      <c r="A50" s="24"/>
      <c r="B50" s="41" t="s">
        <v>75</v>
      </c>
      <c r="C50" s="18">
        <f>SUM(D50:F50)</f>
        <v>632000</v>
      </c>
      <c r="D50" s="23"/>
      <c r="E50" s="23"/>
      <c r="F50" s="23">
        <v>632000</v>
      </c>
      <c r="G50" s="23">
        <v>0</v>
      </c>
      <c r="H50" s="14">
        <f t="shared" si="2"/>
        <v>0</v>
      </c>
    </row>
    <row r="51" spans="1:8" ht="27.75" customHeight="1">
      <c r="A51" s="6" t="s">
        <v>30</v>
      </c>
      <c r="B51" s="7" t="s">
        <v>54</v>
      </c>
      <c r="C51" s="18">
        <f>C52+C53</f>
        <v>30553761.205</v>
      </c>
      <c r="D51" s="18">
        <f>D52+D53</f>
        <v>3612761.205</v>
      </c>
      <c r="E51" s="18">
        <f>E52+E53</f>
        <v>0</v>
      </c>
      <c r="F51" s="18">
        <f>F52+F53</f>
        <v>26941000</v>
      </c>
      <c r="G51" s="18">
        <f>G52+G53</f>
        <v>394225</v>
      </c>
      <c r="H51" s="14">
        <f t="shared" si="2"/>
        <v>1.2902666789694184</v>
      </c>
    </row>
    <row r="52" spans="1:8" ht="26.25" customHeight="1">
      <c r="A52" s="6" t="s">
        <v>43</v>
      </c>
      <c r="B52" s="7" t="s">
        <v>28</v>
      </c>
      <c r="C52" s="14">
        <f>SUM(D52:F52)</f>
        <v>26842761.205</v>
      </c>
      <c r="D52" s="36">
        <v>3542761.205</v>
      </c>
      <c r="E52" s="18"/>
      <c r="F52" s="18">
        <v>23300000</v>
      </c>
      <c r="G52" s="18">
        <v>370725</v>
      </c>
      <c r="H52" s="14">
        <f t="shared" si="2"/>
        <v>1.381098602966915</v>
      </c>
    </row>
    <row r="53" spans="1:8" ht="26.25" customHeight="1">
      <c r="A53" s="6" t="s">
        <v>43</v>
      </c>
      <c r="B53" s="7" t="s">
        <v>44</v>
      </c>
      <c r="C53" s="18">
        <f>SUM(C54:C57)</f>
        <v>3711000</v>
      </c>
      <c r="D53" s="18">
        <f>SUM(D54:D57)</f>
        <v>70000</v>
      </c>
      <c r="E53" s="18">
        <f>SUM(E54:E57)</f>
        <v>0</v>
      </c>
      <c r="F53" s="18">
        <f>SUM(F54:F57)</f>
        <v>3641000</v>
      </c>
      <c r="G53" s="18">
        <f>SUM(G54:G57)</f>
        <v>23500</v>
      </c>
      <c r="H53" s="14">
        <f t="shared" si="2"/>
        <v>0.6332524925895985</v>
      </c>
    </row>
    <row r="54" spans="1:8" ht="23.25" customHeight="1">
      <c r="A54" s="6" t="s">
        <v>71</v>
      </c>
      <c r="B54" s="37" t="s">
        <v>80</v>
      </c>
      <c r="C54" s="18">
        <f>SUM(D54:F54)</f>
        <v>3338000</v>
      </c>
      <c r="D54" s="18"/>
      <c r="E54" s="18"/>
      <c r="F54" s="18">
        <v>3338000</v>
      </c>
      <c r="G54" s="18">
        <v>0</v>
      </c>
      <c r="H54" s="14">
        <f t="shared" si="2"/>
        <v>0</v>
      </c>
    </row>
    <row r="55" spans="1:8" ht="24.75" customHeight="1">
      <c r="A55" s="6" t="s">
        <v>71</v>
      </c>
      <c r="B55" s="37" t="s">
        <v>81</v>
      </c>
      <c r="C55" s="18">
        <f>SUM(D55:F55)</f>
        <v>265000</v>
      </c>
      <c r="D55" s="18">
        <v>70000</v>
      </c>
      <c r="E55" s="18"/>
      <c r="F55" s="18">
        <v>195000</v>
      </c>
      <c r="G55" s="18">
        <v>23500</v>
      </c>
      <c r="H55" s="14">
        <f t="shared" si="2"/>
        <v>8.867924528301886</v>
      </c>
    </row>
    <row r="56" spans="1:8" ht="25.5" customHeight="1">
      <c r="A56" s="6" t="s">
        <v>71</v>
      </c>
      <c r="B56" s="7" t="s">
        <v>82</v>
      </c>
      <c r="C56" s="18">
        <f>SUM(D56:F56)</f>
        <v>8000</v>
      </c>
      <c r="D56" s="18"/>
      <c r="E56" s="18"/>
      <c r="F56" s="18">
        <v>8000</v>
      </c>
      <c r="G56" s="18">
        <v>0</v>
      </c>
      <c r="H56" s="14">
        <f t="shared" si="2"/>
        <v>0</v>
      </c>
    </row>
    <row r="57" spans="1:8" ht="24.75" customHeight="1">
      <c r="A57" s="6" t="s">
        <v>71</v>
      </c>
      <c r="B57" s="7" t="s">
        <v>83</v>
      </c>
      <c r="C57" s="18">
        <f>SUM(D57:F57)</f>
        <v>100000</v>
      </c>
      <c r="D57" s="18"/>
      <c r="E57" s="18"/>
      <c r="F57" s="18">
        <v>100000</v>
      </c>
      <c r="G57" s="18">
        <v>0</v>
      </c>
      <c r="H57" s="14">
        <f t="shared" si="2"/>
        <v>0</v>
      </c>
    </row>
    <row r="58" spans="1:8" ht="29.25" customHeight="1">
      <c r="A58" s="4">
        <v>2</v>
      </c>
      <c r="B58" s="5" t="s">
        <v>31</v>
      </c>
      <c r="C58" s="17">
        <f>C59+C62</f>
        <v>13756906.804000001</v>
      </c>
      <c r="D58" s="17">
        <f>D59+D62</f>
        <v>826080.12</v>
      </c>
      <c r="E58" s="17">
        <f>E59+E62</f>
        <v>12634000</v>
      </c>
      <c r="F58" s="17">
        <f>F59+F62</f>
        <v>296826.684</v>
      </c>
      <c r="G58" s="17">
        <f>G59+G62</f>
        <v>2464318</v>
      </c>
      <c r="H58" s="14">
        <f t="shared" si="2"/>
        <v>17.91331463613221</v>
      </c>
    </row>
    <row r="59" spans="1:8" ht="21" customHeight="1">
      <c r="A59" s="42" t="s">
        <v>89</v>
      </c>
      <c r="B59" s="7" t="s">
        <v>28</v>
      </c>
      <c r="C59" s="18">
        <f>SUM(C60:C61)</f>
        <v>815676</v>
      </c>
      <c r="D59" s="18">
        <f>SUM(D60:D61)</f>
        <v>815676</v>
      </c>
      <c r="E59" s="18">
        <f>SUM(E60:E61)</f>
        <v>0</v>
      </c>
      <c r="F59" s="18">
        <f>SUM(F60:F61)</f>
        <v>0</v>
      </c>
      <c r="G59" s="18">
        <f>SUM(G60:G61)</f>
        <v>80000</v>
      </c>
      <c r="H59" s="14">
        <f>G59/C59*100</f>
        <v>9.807815848449629</v>
      </c>
    </row>
    <row r="60" spans="1:8" ht="21" customHeight="1">
      <c r="A60" s="42" t="s">
        <v>32</v>
      </c>
      <c r="B60" s="7" t="s">
        <v>88</v>
      </c>
      <c r="C60" s="14">
        <f aca="true" t="shared" si="3" ref="C60:C82">SUM(D60:F60)</f>
        <v>760000</v>
      </c>
      <c r="D60" s="18">
        <v>760000</v>
      </c>
      <c r="E60" s="18"/>
      <c r="F60" s="18"/>
      <c r="G60" s="19">
        <v>80000</v>
      </c>
      <c r="H60" s="14">
        <f>G60/C60*100</f>
        <v>10.526315789473683</v>
      </c>
    </row>
    <row r="61" spans="1:8" ht="21" customHeight="1">
      <c r="A61" s="42" t="s">
        <v>32</v>
      </c>
      <c r="B61" s="31" t="s">
        <v>84</v>
      </c>
      <c r="C61" s="25">
        <f>SUM(D61:F61)</f>
        <v>55676</v>
      </c>
      <c r="D61" s="43">
        <v>55676</v>
      </c>
      <c r="E61" s="18"/>
      <c r="F61" s="18"/>
      <c r="G61" s="19">
        <v>0</v>
      </c>
      <c r="H61" s="14">
        <f>G61/C61*100</f>
        <v>0</v>
      </c>
    </row>
    <row r="62" spans="1:8" ht="21" customHeight="1">
      <c r="A62" s="42" t="s">
        <v>90</v>
      </c>
      <c r="B62" s="7" t="s">
        <v>29</v>
      </c>
      <c r="C62" s="18">
        <f>SUM(C63:C82)</f>
        <v>12941230.804000001</v>
      </c>
      <c r="D62" s="18">
        <f>SUM(D63:D82)</f>
        <v>10404.12</v>
      </c>
      <c r="E62" s="18">
        <f>SUM(E63:E82)</f>
        <v>12634000</v>
      </c>
      <c r="F62" s="18">
        <f>SUM(F63:F82)</f>
        <v>296826.684</v>
      </c>
      <c r="G62" s="18">
        <f>SUM(G63:G82)</f>
        <v>2384318</v>
      </c>
      <c r="H62" s="14">
        <f t="shared" si="2"/>
        <v>18.42419810071722</v>
      </c>
    </row>
    <row r="63" spans="1:8" ht="32.25" customHeight="1">
      <c r="A63" s="42" t="s">
        <v>32</v>
      </c>
      <c r="B63" s="11" t="s">
        <v>33</v>
      </c>
      <c r="C63" s="14">
        <f t="shared" si="3"/>
        <v>2235000</v>
      </c>
      <c r="D63" s="18"/>
      <c r="E63" s="18">
        <v>2235000</v>
      </c>
      <c r="F63" s="19">
        <v>0</v>
      </c>
      <c r="G63" s="19">
        <v>0</v>
      </c>
      <c r="H63" s="14">
        <f t="shared" si="2"/>
        <v>0</v>
      </c>
    </row>
    <row r="64" spans="1:8" ht="31.5" customHeight="1">
      <c r="A64" s="42" t="s">
        <v>32</v>
      </c>
      <c r="B64" s="11" t="s">
        <v>34</v>
      </c>
      <c r="C64" s="14">
        <f t="shared" si="3"/>
        <v>145000</v>
      </c>
      <c r="D64" s="18"/>
      <c r="E64" s="18">
        <v>145000</v>
      </c>
      <c r="F64" s="19"/>
      <c r="G64" s="19">
        <v>68800</v>
      </c>
      <c r="H64" s="14">
        <f t="shared" si="2"/>
        <v>47.44827586206897</v>
      </c>
    </row>
    <row r="65" spans="1:8" ht="48.75" customHeight="1">
      <c r="A65" s="42" t="s">
        <v>32</v>
      </c>
      <c r="B65" s="11" t="s">
        <v>35</v>
      </c>
      <c r="C65" s="14">
        <f>SUM(D65:F65)</f>
        <v>3814404.12</v>
      </c>
      <c r="D65" s="18">
        <v>10404.12</v>
      </c>
      <c r="E65" s="18">
        <v>3804000</v>
      </c>
      <c r="F65" s="19"/>
      <c r="G65" s="19">
        <v>1605400</v>
      </c>
      <c r="H65" s="14">
        <f t="shared" si="2"/>
        <v>42.0878320569767</v>
      </c>
    </row>
    <row r="66" spans="1:8" ht="35.25" customHeight="1">
      <c r="A66" s="42" t="s">
        <v>32</v>
      </c>
      <c r="B66" s="11" t="s">
        <v>36</v>
      </c>
      <c r="C66" s="14">
        <f t="shared" si="3"/>
        <v>913000</v>
      </c>
      <c r="D66" s="18"/>
      <c r="E66" s="18">
        <v>913000</v>
      </c>
      <c r="F66" s="19"/>
      <c r="G66" s="19">
        <v>0</v>
      </c>
      <c r="H66" s="14">
        <f t="shared" si="2"/>
        <v>0</v>
      </c>
    </row>
    <row r="67" spans="1:8" ht="27" customHeight="1">
      <c r="A67" s="42" t="s">
        <v>32</v>
      </c>
      <c r="B67" s="11" t="s">
        <v>37</v>
      </c>
      <c r="C67" s="14">
        <f t="shared" si="3"/>
        <v>7000</v>
      </c>
      <c r="D67" s="18"/>
      <c r="E67" s="18">
        <v>7000</v>
      </c>
      <c r="F67" s="19"/>
      <c r="G67" s="19">
        <v>0</v>
      </c>
      <c r="H67" s="14">
        <f t="shared" si="2"/>
        <v>0</v>
      </c>
    </row>
    <row r="68" spans="1:8" ht="29.25" customHeight="1">
      <c r="A68" s="42" t="s">
        <v>32</v>
      </c>
      <c r="B68" s="11" t="s">
        <v>38</v>
      </c>
      <c r="C68" s="14">
        <f t="shared" si="3"/>
        <v>505000</v>
      </c>
      <c r="D68" s="18"/>
      <c r="E68" s="18">
        <v>505000</v>
      </c>
      <c r="F68" s="19"/>
      <c r="G68" s="19">
        <v>313558</v>
      </c>
      <c r="H68" s="14">
        <f t="shared" si="2"/>
        <v>62.09069306930694</v>
      </c>
    </row>
    <row r="69" spans="1:8" ht="29.25" customHeight="1">
      <c r="A69" s="42" t="s">
        <v>32</v>
      </c>
      <c r="B69" s="11" t="s">
        <v>58</v>
      </c>
      <c r="C69" s="14">
        <f t="shared" si="3"/>
        <v>202000</v>
      </c>
      <c r="D69" s="18"/>
      <c r="E69" s="18">
        <v>202000</v>
      </c>
      <c r="F69" s="19"/>
      <c r="G69" s="19">
        <v>202000</v>
      </c>
      <c r="H69" s="14">
        <f t="shared" si="2"/>
        <v>100</v>
      </c>
    </row>
    <row r="70" spans="1:8" ht="21" customHeight="1">
      <c r="A70" s="42" t="s">
        <v>32</v>
      </c>
      <c r="B70" s="11" t="s">
        <v>39</v>
      </c>
      <c r="C70" s="14">
        <f t="shared" si="3"/>
        <v>1951000</v>
      </c>
      <c r="D70" s="18"/>
      <c r="E70" s="18">
        <v>1951000</v>
      </c>
      <c r="F70" s="19"/>
      <c r="G70" s="19">
        <v>0</v>
      </c>
      <c r="H70" s="14">
        <f t="shared" si="2"/>
        <v>0</v>
      </c>
    </row>
    <row r="71" spans="1:8" ht="35.25" customHeight="1">
      <c r="A71" s="42" t="s">
        <v>32</v>
      </c>
      <c r="B71" s="11" t="s">
        <v>59</v>
      </c>
      <c r="C71" s="14">
        <f t="shared" si="3"/>
        <v>22000</v>
      </c>
      <c r="D71" s="18"/>
      <c r="E71" s="18">
        <v>22000</v>
      </c>
      <c r="F71" s="19"/>
      <c r="G71" s="19">
        <v>0</v>
      </c>
      <c r="H71" s="14">
        <f t="shared" si="2"/>
        <v>0</v>
      </c>
    </row>
    <row r="72" spans="1:8" ht="24.75" customHeight="1">
      <c r="A72" s="42" t="s">
        <v>32</v>
      </c>
      <c r="B72" s="11" t="s">
        <v>40</v>
      </c>
      <c r="C72" s="14">
        <f t="shared" si="3"/>
        <v>120000</v>
      </c>
      <c r="D72" s="18"/>
      <c r="E72" s="18">
        <v>120000</v>
      </c>
      <c r="F72" s="19"/>
      <c r="G72" s="19">
        <v>0</v>
      </c>
      <c r="H72" s="14">
        <f t="shared" si="2"/>
        <v>0</v>
      </c>
    </row>
    <row r="73" spans="1:8" ht="27" customHeight="1">
      <c r="A73" s="42" t="s">
        <v>32</v>
      </c>
      <c r="B73" s="11" t="s">
        <v>66</v>
      </c>
      <c r="C73" s="14">
        <f t="shared" si="3"/>
        <v>484826.684</v>
      </c>
      <c r="D73" s="18"/>
      <c r="E73" s="18">
        <v>188000</v>
      </c>
      <c r="F73" s="19">
        <v>296826.684</v>
      </c>
      <c r="G73" s="19">
        <v>0</v>
      </c>
      <c r="H73" s="14">
        <f t="shared" si="2"/>
        <v>0</v>
      </c>
    </row>
    <row r="74" spans="1:8" ht="33.75" customHeight="1">
      <c r="A74" s="42" t="s">
        <v>32</v>
      </c>
      <c r="B74" s="11" t="s">
        <v>41</v>
      </c>
      <c r="C74" s="14">
        <f t="shared" si="3"/>
        <v>70000</v>
      </c>
      <c r="D74" s="18"/>
      <c r="E74" s="18">
        <v>70000</v>
      </c>
      <c r="F74" s="19"/>
      <c r="G74" s="19">
        <v>70000</v>
      </c>
      <c r="H74" s="14">
        <f t="shared" si="2"/>
        <v>100</v>
      </c>
    </row>
    <row r="75" spans="1:8" ht="42" customHeight="1">
      <c r="A75" s="42" t="s">
        <v>32</v>
      </c>
      <c r="B75" s="11" t="s">
        <v>60</v>
      </c>
      <c r="C75" s="14">
        <f t="shared" si="3"/>
        <v>400000</v>
      </c>
      <c r="D75" s="18"/>
      <c r="E75" s="18">
        <v>400000</v>
      </c>
      <c r="F75" s="19"/>
      <c r="G75" s="19">
        <v>1560</v>
      </c>
      <c r="H75" s="14">
        <f>G75/C75*100</f>
        <v>0.38999999999999996</v>
      </c>
    </row>
    <row r="76" spans="1:8" ht="24" customHeight="1">
      <c r="A76" s="42" t="s">
        <v>32</v>
      </c>
      <c r="B76" s="11" t="s">
        <v>61</v>
      </c>
      <c r="C76" s="14">
        <f t="shared" si="3"/>
        <v>53000</v>
      </c>
      <c r="D76" s="18"/>
      <c r="E76" s="18">
        <v>53000</v>
      </c>
      <c r="F76" s="19"/>
      <c r="G76" s="19">
        <v>0</v>
      </c>
      <c r="H76" s="14">
        <f t="shared" si="2"/>
        <v>0</v>
      </c>
    </row>
    <row r="77" spans="1:8" ht="24" customHeight="1">
      <c r="A77" s="42" t="s">
        <v>32</v>
      </c>
      <c r="B77" s="11" t="s">
        <v>62</v>
      </c>
      <c r="C77" s="14">
        <f t="shared" si="3"/>
        <v>25000</v>
      </c>
      <c r="D77" s="18"/>
      <c r="E77" s="18">
        <v>25000</v>
      </c>
      <c r="F77" s="19"/>
      <c r="G77" s="19">
        <v>25000</v>
      </c>
      <c r="H77" s="14">
        <f t="shared" si="2"/>
        <v>100</v>
      </c>
    </row>
    <row r="78" spans="1:8" ht="23.25" customHeight="1">
      <c r="A78" s="42" t="s">
        <v>32</v>
      </c>
      <c r="B78" s="11" t="s">
        <v>63</v>
      </c>
      <c r="C78" s="14">
        <f t="shared" si="3"/>
        <v>80000</v>
      </c>
      <c r="D78" s="18"/>
      <c r="E78" s="18">
        <v>80000</v>
      </c>
      <c r="F78" s="19"/>
      <c r="G78" s="19">
        <v>80000</v>
      </c>
      <c r="H78" s="14">
        <f t="shared" si="2"/>
        <v>100</v>
      </c>
    </row>
    <row r="79" spans="1:8" ht="23.25" customHeight="1">
      <c r="A79" s="42" t="s">
        <v>32</v>
      </c>
      <c r="B79" s="11" t="s">
        <v>64</v>
      </c>
      <c r="C79" s="14">
        <f t="shared" si="3"/>
        <v>1000000</v>
      </c>
      <c r="D79" s="18"/>
      <c r="E79" s="18">
        <v>1000000</v>
      </c>
      <c r="F79" s="19"/>
      <c r="G79" s="19">
        <v>0</v>
      </c>
      <c r="H79" s="14">
        <f t="shared" si="2"/>
        <v>0</v>
      </c>
    </row>
    <row r="80" spans="1:8" ht="22.5" customHeight="1">
      <c r="A80" s="42" t="s">
        <v>32</v>
      </c>
      <c r="B80" s="20" t="s">
        <v>67</v>
      </c>
      <c r="C80" s="14">
        <f t="shared" si="3"/>
        <v>304000</v>
      </c>
      <c r="D80" s="21"/>
      <c r="E80" s="21">
        <v>304000</v>
      </c>
      <c r="F80" s="22"/>
      <c r="G80" s="22">
        <v>18000</v>
      </c>
      <c r="H80" s="14">
        <f t="shared" si="2"/>
        <v>5.921052631578947</v>
      </c>
    </row>
    <row r="81" spans="1:8" ht="33" customHeight="1">
      <c r="A81" s="42" t="s">
        <v>32</v>
      </c>
      <c r="B81" s="20" t="s">
        <v>68</v>
      </c>
      <c r="C81" s="14">
        <f t="shared" si="3"/>
        <v>10000</v>
      </c>
      <c r="D81" s="21"/>
      <c r="E81" s="21">
        <v>10000</v>
      </c>
      <c r="F81" s="22"/>
      <c r="G81" s="22">
        <v>0</v>
      </c>
      <c r="H81" s="14">
        <f t="shared" si="2"/>
        <v>0</v>
      </c>
    </row>
    <row r="82" spans="1:8" ht="24" customHeight="1">
      <c r="A82" s="44" t="s">
        <v>32</v>
      </c>
      <c r="B82" s="26" t="s">
        <v>65</v>
      </c>
      <c r="C82" s="27">
        <f t="shared" si="3"/>
        <v>600000</v>
      </c>
      <c r="D82" s="28"/>
      <c r="E82" s="28">
        <v>600000</v>
      </c>
      <c r="F82" s="29"/>
      <c r="G82" s="29">
        <v>0</v>
      </c>
      <c r="H82" s="27">
        <f t="shared" si="2"/>
        <v>0</v>
      </c>
    </row>
  </sheetData>
  <sheetProtection/>
  <mergeCells count="13">
    <mergeCell ref="G1:H1"/>
    <mergeCell ref="A2:H2"/>
    <mergeCell ref="A3:H3"/>
    <mergeCell ref="A4:H4"/>
    <mergeCell ref="A5:A7"/>
    <mergeCell ref="B5:B7"/>
    <mergeCell ref="C5:F5"/>
    <mergeCell ref="G5:G7"/>
    <mergeCell ref="H5:H7"/>
    <mergeCell ref="C6:C7"/>
    <mergeCell ref="D6:D7"/>
    <mergeCell ref="E6:E7"/>
    <mergeCell ref="F6:F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25"/>
  <sheetViews>
    <sheetView zoomScalePageLayoutView="0" workbookViewId="0" topLeftCell="A7">
      <selection activeCell="E15" sqref="E15"/>
    </sheetView>
  </sheetViews>
  <sheetFormatPr defaultColWidth="9.00390625" defaultRowHeight="14.25"/>
  <cols>
    <col min="1" max="1" width="4.375" style="248" customWidth="1"/>
    <col min="2" max="2" width="25.625" style="248" customWidth="1"/>
    <col min="3" max="3" width="17.625" style="248" customWidth="1"/>
    <col min="4" max="4" width="14.50390625" style="248" customWidth="1"/>
    <col min="5" max="5" width="16.50390625" style="248" customWidth="1"/>
    <col min="6" max="6" width="17.25390625" style="248" customWidth="1"/>
    <col min="7" max="7" width="16.25390625" style="248" customWidth="1"/>
    <col min="8" max="16384" width="9.00390625" style="248" customWidth="1"/>
  </cols>
  <sheetData>
    <row r="3" spans="1:6" ht="26.25" customHeight="1">
      <c r="A3" s="442" t="s">
        <v>283</v>
      </c>
      <c r="B3" s="443"/>
      <c r="C3" s="443"/>
      <c r="D3" s="443"/>
      <c r="E3" s="443"/>
      <c r="F3" s="443"/>
    </row>
    <row r="4" spans="1:6" ht="15.75">
      <c r="A4" s="249"/>
      <c r="B4" s="257"/>
      <c r="C4" s="257"/>
      <c r="D4" s="257"/>
      <c r="E4" s="257"/>
      <c r="F4" s="258" t="s">
        <v>154</v>
      </c>
    </row>
    <row r="5" spans="1:6" ht="21.75" customHeight="1">
      <c r="A5" s="444" t="s">
        <v>0</v>
      </c>
      <c r="B5" s="444" t="s">
        <v>115</v>
      </c>
      <c r="C5" s="444" t="s">
        <v>94</v>
      </c>
      <c r="D5" s="444" t="s">
        <v>266</v>
      </c>
      <c r="E5" s="447" t="s">
        <v>267</v>
      </c>
      <c r="F5" s="448"/>
    </row>
    <row r="6" spans="1:6" ht="21.75" customHeight="1">
      <c r="A6" s="445"/>
      <c r="B6" s="445"/>
      <c r="C6" s="446"/>
      <c r="D6" s="445"/>
      <c r="E6" s="250" t="s">
        <v>268</v>
      </c>
      <c r="F6" s="250" t="s">
        <v>269</v>
      </c>
    </row>
    <row r="7" spans="1:6" ht="24.75" customHeight="1">
      <c r="A7" s="251"/>
      <c r="B7" s="251" t="s">
        <v>266</v>
      </c>
      <c r="C7" s="252">
        <f>C8+C20</f>
        <v>5946378875</v>
      </c>
      <c r="D7" s="252">
        <f>D8+D20</f>
        <v>0</v>
      </c>
      <c r="E7" s="252">
        <f>E8+E20</f>
        <v>5638401129</v>
      </c>
      <c r="F7" s="252">
        <f>F8+F20</f>
        <v>307977746</v>
      </c>
    </row>
    <row r="8" spans="1:6" ht="24.75" customHeight="1">
      <c r="A8" s="251" t="s">
        <v>270</v>
      </c>
      <c r="B8" s="260" t="s">
        <v>271</v>
      </c>
      <c r="C8" s="261">
        <f>SUM(C9:C19)</f>
        <v>3412269429</v>
      </c>
      <c r="D8" s="261">
        <f>SUM(D9:D19)</f>
        <v>0</v>
      </c>
      <c r="E8" s="253">
        <f>SUM(E9:E19)</f>
        <v>3112980626</v>
      </c>
      <c r="F8" s="253">
        <f>SUM(F10:F19)</f>
        <v>299288803</v>
      </c>
    </row>
    <row r="9" spans="1:6" ht="24.75" customHeight="1">
      <c r="A9" s="262">
        <v>1</v>
      </c>
      <c r="B9" s="263" t="s">
        <v>272</v>
      </c>
      <c r="C9" s="264">
        <f>SUM(D9:F9)</f>
        <v>561172480</v>
      </c>
      <c r="D9" s="256"/>
      <c r="E9" s="256">
        <f>217597618+13304550+330270312</f>
        <v>561172480</v>
      </c>
      <c r="F9" s="256"/>
    </row>
    <row r="10" spans="1:6" ht="24.75" customHeight="1">
      <c r="A10" s="262">
        <v>2</v>
      </c>
      <c r="B10" s="263" t="s">
        <v>273</v>
      </c>
      <c r="C10" s="264">
        <f aca="true" t="shared" si="0" ref="C10:C25">SUM(D10:F10)</f>
        <v>299426513</v>
      </c>
      <c r="D10" s="256"/>
      <c r="E10" s="256">
        <v>248083513</v>
      </c>
      <c r="F10" s="256">
        <v>51343000</v>
      </c>
    </row>
    <row r="11" spans="1:6" ht="24.75" customHeight="1">
      <c r="A11" s="262">
        <v>3</v>
      </c>
      <c r="B11" s="263" t="s">
        <v>274</v>
      </c>
      <c r="C11" s="264">
        <f t="shared" si="0"/>
        <v>0</v>
      </c>
      <c r="D11" s="265"/>
      <c r="E11" s="254"/>
      <c r="F11" s="254"/>
    </row>
    <row r="12" spans="1:6" ht="24.75" customHeight="1">
      <c r="A12" s="262">
        <v>4</v>
      </c>
      <c r="B12" s="266" t="s">
        <v>278</v>
      </c>
      <c r="C12" s="264">
        <f t="shared" si="0"/>
        <v>562503167</v>
      </c>
      <c r="D12" s="256"/>
      <c r="E12" s="256">
        <f>13588700+548914467</f>
        <v>562503167</v>
      </c>
      <c r="F12" s="256"/>
    </row>
    <row r="13" spans="1:6" ht="24.75" customHeight="1">
      <c r="A13" s="262">
        <v>5</v>
      </c>
      <c r="B13" s="266" t="s">
        <v>279</v>
      </c>
      <c r="C13" s="264">
        <f t="shared" si="0"/>
        <v>21512042</v>
      </c>
      <c r="D13" s="256"/>
      <c r="E13" s="256">
        <f>13442200+8069842</f>
        <v>21512042</v>
      </c>
      <c r="F13" s="254"/>
    </row>
    <row r="14" spans="1:6" ht="24.75" customHeight="1">
      <c r="A14" s="262"/>
      <c r="B14" s="266" t="s">
        <v>275</v>
      </c>
      <c r="C14" s="264">
        <f t="shared" si="0"/>
        <v>0</v>
      </c>
      <c r="D14" s="256"/>
      <c r="E14" s="254"/>
      <c r="F14" s="254"/>
    </row>
    <row r="15" spans="1:6" ht="24.75" customHeight="1">
      <c r="A15" s="262">
        <v>6</v>
      </c>
      <c r="B15" s="266" t="s">
        <v>125</v>
      </c>
      <c r="C15" s="264">
        <f t="shared" si="0"/>
        <v>1382585040</v>
      </c>
      <c r="D15" s="256"/>
      <c r="E15" s="256">
        <v>1340543820</v>
      </c>
      <c r="F15" s="256">
        <v>42041220</v>
      </c>
    </row>
    <row r="16" spans="1:6" ht="24.75" customHeight="1">
      <c r="A16" s="262">
        <v>7</v>
      </c>
      <c r="B16" s="263" t="s">
        <v>123</v>
      </c>
      <c r="C16" s="264">
        <f t="shared" si="0"/>
        <v>192886205</v>
      </c>
      <c r="D16" s="256"/>
      <c r="E16" s="256">
        <v>71263545</v>
      </c>
      <c r="F16" s="256">
        <v>121622660</v>
      </c>
    </row>
    <row r="17" spans="1:6" ht="24.75" customHeight="1">
      <c r="A17" s="262">
        <v>8</v>
      </c>
      <c r="B17" s="263" t="s">
        <v>282</v>
      </c>
      <c r="C17" s="264">
        <f t="shared" si="0"/>
        <v>0</v>
      </c>
      <c r="D17" s="265"/>
      <c r="E17" s="254"/>
      <c r="F17" s="254"/>
    </row>
    <row r="18" spans="1:6" ht="24.75" customHeight="1">
      <c r="A18" s="262">
        <v>9</v>
      </c>
      <c r="B18" s="263" t="s">
        <v>134</v>
      </c>
      <c r="C18" s="264">
        <f t="shared" si="0"/>
        <v>392183982</v>
      </c>
      <c r="D18" s="256"/>
      <c r="E18" s="256">
        <v>307902059</v>
      </c>
      <c r="F18" s="256">
        <v>84281923</v>
      </c>
    </row>
    <row r="19" spans="1:6" ht="24.75" customHeight="1">
      <c r="A19" s="262">
        <v>10</v>
      </c>
      <c r="B19" s="263" t="s">
        <v>276</v>
      </c>
      <c r="C19" s="264">
        <f t="shared" si="0"/>
        <v>0</v>
      </c>
      <c r="D19" s="265">
        <f>SUM(E19:F19)</f>
        <v>0</v>
      </c>
      <c r="E19" s="254"/>
      <c r="F19" s="254"/>
    </row>
    <row r="20" spans="1:6" ht="24.75" customHeight="1">
      <c r="A20" s="251" t="s">
        <v>5</v>
      </c>
      <c r="B20" s="260" t="s">
        <v>277</v>
      </c>
      <c r="C20" s="261">
        <f>SUM(C21:C25)</f>
        <v>2534109446</v>
      </c>
      <c r="D20" s="261">
        <f>SUM(D21:D25)</f>
        <v>0</v>
      </c>
      <c r="E20" s="255">
        <f>SUM(E21:E25)</f>
        <v>2525420503</v>
      </c>
      <c r="F20" s="255">
        <f>SUM(F21:F25)</f>
        <v>8688943</v>
      </c>
    </row>
    <row r="21" spans="1:6" ht="33.75" customHeight="1">
      <c r="A21" s="262">
        <v>1</v>
      </c>
      <c r="B21" s="267" t="s">
        <v>284</v>
      </c>
      <c r="C21" s="264">
        <f t="shared" si="0"/>
        <v>0</v>
      </c>
      <c r="D21" s="265"/>
      <c r="E21" s="254"/>
      <c r="F21" s="254"/>
    </row>
    <row r="22" spans="1:6" ht="24.75" customHeight="1">
      <c r="A22" s="262">
        <v>2</v>
      </c>
      <c r="B22" s="266" t="s">
        <v>128</v>
      </c>
      <c r="C22" s="264">
        <f t="shared" si="0"/>
        <v>0</v>
      </c>
      <c r="D22" s="265"/>
      <c r="E22" s="254"/>
      <c r="F22" s="254"/>
    </row>
    <row r="23" spans="1:6" ht="24.75" customHeight="1">
      <c r="A23" s="262">
        <v>3</v>
      </c>
      <c r="B23" s="263" t="s">
        <v>280</v>
      </c>
      <c r="C23" s="264">
        <f t="shared" si="0"/>
        <v>9752546</v>
      </c>
      <c r="D23" s="256"/>
      <c r="E23" s="256">
        <v>1063603</v>
      </c>
      <c r="F23" s="256">
        <v>8688943</v>
      </c>
    </row>
    <row r="24" spans="1:6" ht="24.75" customHeight="1">
      <c r="A24" s="262">
        <v>4</v>
      </c>
      <c r="B24" s="263" t="s">
        <v>131</v>
      </c>
      <c r="C24" s="264">
        <f t="shared" si="0"/>
        <v>2524356900</v>
      </c>
      <c r="D24" s="256"/>
      <c r="E24" s="256">
        <v>2524356900</v>
      </c>
      <c r="F24" s="254"/>
    </row>
    <row r="25" spans="1:6" ht="24.75" customHeight="1">
      <c r="A25" s="262">
        <v>5</v>
      </c>
      <c r="B25" s="263" t="s">
        <v>281</v>
      </c>
      <c r="C25" s="264">
        <f t="shared" si="0"/>
        <v>0</v>
      </c>
      <c r="D25" s="265"/>
      <c r="E25" s="259"/>
      <c r="F25" s="259"/>
    </row>
  </sheetData>
  <sheetProtection/>
  <mergeCells count="6">
    <mergeCell ref="A3:F3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hienstc</dc:creator>
  <cp:keywords/>
  <dc:description/>
  <cp:lastModifiedBy>Administrator</cp:lastModifiedBy>
  <cp:lastPrinted>2024-04-10T01:10:42Z</cp:lastPrinted>
  <dcterms:created xsi:type="dcterms:W3CDTF">2019-05-14T02:08:00Z</dcterms:created>
  <dcterms:modified xsi:type="dcterms:W3CDTF">2024-04-12T01:39:28Z</dcterms:modified>
  <cp:category/>
  <cp:version/>
  <cp:contentType/>
  <cp:contentStatus/>
</cp:coreProperties>
</file>