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50" firstSheet="1" activeTab="1"/>
  </bookViews>
  <sheets>
    <sheet name="SGV" sheetId="21" state="veryHidden" r:id="rId1"/>
    <sheet name="Tong Hop" sheetId="1" r:id="rId2"/>
    <sheet name="Dat Dai" sheetId="2" r:id="rId3"/>
    <sheet name="Tài sản" sheetId="15" r:id="rId4"/>
    <sheet name="Cây Cối" sheetId="13" r:id="rId5"/>
    <sheet name="Ho tro di doi nha" sheetId="9" state="hidden" r:id="rId6"/>
    <sheet name="CDN" sheetId="12" r:id="rId7"/>
    <sheet name="Ho tro ODDS" sheetId="6" r:id="rId8"/>
    <sheet name="Ho tro di doi nha (2)" sheetId="17" r:id="rId9"/>
    <sheet name="Ho tro de bi ton thuong (2)" sheetId="18" r:id="rId10"/>
    <sheet name="Sheet1" sheetId="19" r:id="rId11"/>
    <sheet name="Sheet2" sheetId="20" r:id="rId12"/>
  </sheets>
  <definedNames>
    <definedName name="_xlnm.Print_Titles" localSheetId="4">'Cây Cối'!$6:$6</definedName>
    <definedName name="_xlnm.Print_Titles" localSheetId="6">CDN!$6:$6</definedName>
    <definedName name="_xlnm.Print_Titles" localSheetId="9">'Ho tro de bi ton thuong (2)'!$6:$7</definedName>
    <definedName name="_xlnm.Print_Titles" localSheetId="5">'Ho tro di doi nha'!$5:$6</definedName>
    <definedName name="_xlnm.Print_Titles" localSheetId="8">'Ho tro di doi nha (2)'!$6:$7</definedName>
    <definedName name="_xlnm.Print_Titles" localSheetId="3">'Tài sản'!$6:$6</definedName>
    <definedName name="_xlnm.Print_Titles" localSheetId="1">'Tong Hop'!$6:$6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4" i="15" l="1"/>
  <c r="J117" i="15"/>
  <c r="J69" i="15"/>
  <c r="C12" i="20" l="1"/>
  <c r="C11" i="20"/>
  <c r="C10" i="20"/>
  <c r="C9" i="20"/>
  <c r="C8" i="20"/>
  <c r="C6" i="20"/>
  <c r="C5" i="20"/>
  <c r="C4" i="20"/>
  <c r="C13" i="20" s="1"/>
  <c r="C6" i="19"/>
  <c r="C5" i="19"/>
  <c r="C3" i="19"/>
  <c r="A4" i="18" l="1"/>
  <c r="A4" i="17"/>
  <c r="A4" i="6"/>
  <c r="A4" i="12"/>
  <c r="A4" i="13"/>
  <c r="A4" i="15"/>
  <c r="A4" i="2"/>
  <c r="J9" i="1"/>
  <c r="J8" i="1"/>
  <c r="K7" i="6"/>
  <c r="H8" i="1" l="1"/>
  <c r="H19" i="1" s="1"/>
  <c r="D6" i="19" s="1"/>
  <c r="E6" i="19" s="1"/>
  <c r="D9" i="20"/>
  <c r="E9" i="20" s="1"/>
  <c r="J19" i="1"/>
  <c r="D10" i="20" s="1"/>
  <c r="E10" i="20" s="1"/>
  <c r="K10" i="17"/>
  <c r="I13" i="1" s="1"/>
  <c r="K9" i="17"/>
  <c r="I11" i="1" s="1"/>
  <c r="K8" i="17"/>
  <c r="I9" i="1" s="1"/>
  <c r="J21" i="12"/>
  <c r="J20" i="12" s="1"/>
  <c r="J19" i="12"/>
  <c r="J18" i="12"/>
  <c r="J16" i="12"/>
  <c r="J15" i="12"/>
  <c r="J14" i="12"/>
  <c r="J12" i="12"/>
  <c r="J10" i="12"/>
  <c r="J9" i="12"/>
  <c r="J8" i="12"/>
  <c r="I66" i="13"/>
  <c r="I65" i="13"/>
  <c r="I64" i="13"/>
  <c r="I62" i="13"/>
  <c r="I61" i="13"/>
  <c r="I60" i="13"/>
  <c r="I59" i="13"/>
  <c r="I58" i="13"/>
  <c r="I57" i="13"/>
  <c r="I56" i="13"/>
  <c r="I53" i="13"/>
  <c r="I52" i="13"/>
  <c r="I51" i="13"/>
  <c r="I50" i="13"/>
  <c r="I47" i="13"/>
  <c r="I46" i="13"/>
  <c r="I45" i="13"/>
  <c r="I44" i="13"/>
  <c r="I43" i="13"/>
  <c r="I42" i="13"/>
  <c r="I41" i="13"/>
  <c r="I40" i="13"/>
  <c r="I39" i="13"/>
  <c r="I38" i="13"/>
  <c r="I37" i="13"/>
  <c r="I36" i="13"/>
  <c r="I34" i="13"/>
  <c r="I33" i="13"/>
  <c r="I32" i="13"/>
  <c r="I31" i="13"/>
  <c r="I30" i="13"/>
  <c r="I29" i="13"/>
  <c r="I28" i="13"/>
  <c r="I27" i="13"/>
  <c r="I26" i="13"/>
  <c r="I25" i="13"/>
  <c r="I24" i="13"/>
  <c r="I23" i="13"/>
  <c r="I21" i="13"/>
  <c r="I20" i="13"/>
  <c r="I19" i="13"/>
  <c r="I18" i="13"/>
  <c r="I17" i="13"/>
  <c r="I16" i="13"/>
  <c r="I15" i="13"/>
  <c r="I14" i="13"/>
  <c r="I13" i="13"/>
  <c r="I12" i="13"/>
  <c r="I11" i="13"/>
  <c r="I10" i="13"/>
  <c r="I9" i="13"/>
  <c r="I8" i="13"/>
  <c r="G127" i="15"/>
  <c r="I127" i="15" s="1"/>
  <c r="G126" i="15"/>
  <c r="I126" i="15" s="1"/>
  <c r="I125" i="15"/>
  <c r="G123" i="15"/>
  <c r="I123" i="15" s="1"/>
  <c r="G122" i="15"/>
  <c r="I122" i="15" s="1"/>
  <c r="G120" i="15"/>
  <c r="I120" i="15" s="1"/>
  <c r="G119" i="15"/>
  <c r="I119" i="15" s="1"/>
  <c r="G116" i="15"/>
  <c r="I116" i="15" s="1"/>
  <c r="I115" i="15"/>
  <c r="G114" i="15"/>
  <c r="I114" i="15" s="1"/>
  <c r="G112" i="15"/>
  <c r="I112" i="15" s="1"/>
  <c r="G111" i="15"/>
  <c r="I111" i="15" s="1"/>
  <c r="G110" i="15"/>
  <c r="I110" i="15" s="1"/>
  <c r="G109" i="15"/>
  <c r="I109" i="15" s="1"/>
  <c r="G108" i="15"/>
  <c r="I108" i="15" s="1"/>
  <c r="G107" i="15"/>
  <c r="I107" i="15" s="1"/>
  <c r="G106" i="15"/>
  <c r="I106" i="15" s="1"/>
  <c r="G105" i="15"/>
  <c r="I105" i="15" s="1"/>
  <c r="G104" i="15"/>
  <c r="I104" i="15" s="1"/>
  <c r="G101" i="15"/>
  <c r="I101" i="15" s="1"/>
  <c r="G100" i="15"/>
  <c r="I100" i="15" s="1"/>
  <c r="G99" i="15"/>
  <c r="I99" i="15" s="1"/>
  <c r="G98" i="15"/>
  <c r="I98" i="15" s="1"/>
  <c r="G95" i="15"/>
  <c r="I95" i="15" s="1"/>
  <c r="I94" i="15"/>
  <c r="G93" i="15"/>
  <c r="I93" i="15" s="1"/>
  <c r="G92" i="15"/>
  <c r="I92" i="15" s="1"/>
  <c r="G91" i="15"/>
  <c r="I91" i="15" s="1"/>
  <c r="G90" i="15"/>
  <c r="I90" i="15" s="1"/>
  <c r="G89" i="15"/>
  <c r="I89" i="15" s="1"/>
  <c r="G87" i="15"/>
  <c r="I87" i="15" s="1"/>
  <c r="G86" i="15"/>
  <c r="I86" i="15" s="1"/>
  <c r="G85" i="15"/>
  <c r="I85" i="15" s="1"/>
  <c r="G83" i="15"/>
  <c r="I83" i="15" s="1"/>
  <c r="G82" i="15"/>
  <c r="I82" i="15" s="1"/>
  <c r="G81" i="15"/>
  <c r="I81" i="15" s="1"/>
  <c r="G80" i="15"/>
  <c r="I80" i="15" s="1"/>
  <c r="G79" i="15"/>
  <c r="I79" i="15" s="1"/>
  <c r="G78" i="15"/>
  <c r="I78" i="15" s="1"/>
  <c r="G77" i="15"/>
  <c r="I77" i="15" s="1"/>
  <c r="G74" i="15"/>
  <c r="I74" i="15" s="1"/>
  <c r="G73" i="15"/>
  <c r="I73" i="15" s="1"/>
  <c r="I72" i="15"/>
  <c r="G71" i="15"/>
  <c r="I71" i="15" s="1"/>
  <c r="G70" i="15"/>
  <c r="I70" i="15" s="1"/>
  <c r="I66" i="15"/>
  <c r="I65" i="15"/>
  <c r="I63" i="15"/>
  <c r="I59" i="15"/>
  <c r="G58" i="15"/>
  <c r="I58" i="15" s="1"/>
  <c r="G57" i="15"/>
  <c r="I57" i="15" s="1"/>
  <c r="G56" i="15"/>
  <c r="I56" i="15" s="1"/>
  <c r="I55" i="15"/>
  <c r="I54" i="15"/>
  <c r="G52" i="15"/>
  <c r="I52" i="15" s="1"/>
  <c r="G51" i="15"/>
  <c r="I51" i="15" s="1"/>
  <c r="G50" i="15"/>
  <c r="I50" i="15" s="1"/>
  <c r="G49" i="15"/>
  <c r="I49" i="15" s="1"/>
  <c r="G48" i="15"/>
  <c r="I48" i="15" s="1"/>
  <c r="G47" i="15"/>
  <c r="I47" i="15" s="1"/>
  <c r="G46" i="15"/>
  <c r="I46" i="15" s="1"/>
  <c r="G45" i="15"/>
  <c r="I45" i="15" s="1"/>
  <c r="G44" i="15"/>
  <c r="I44" i="15" s="1"/>
  <c r="G43" i="15"/>
  <c r="I43" i="15" s="1"/>
  <c r="G42" i="15"/>
  <c r="I42" i="15" s="1"/>
  <c r="G39" i="15"/>
  <c r="I39" i="15" s="1"/>
  <c r="G38" i="15"/>
  <c r="I38" i="15" s="1"/>
  <c r="G37" i="15"/>
  <c r="I37" i="15" s="1"/>
  <c r="G35" i="15"/>
  <c r="I35" i="15" s="1"/>
  <c r="G34" i="15"/>
  <c r="I34" i="15" s="1"/>
  <c r="G33" i="15"/>
  <c r="I33" i="15" s="1"/>
  <c r="G32" i="15"/>
  <c r="I32" i="15" s="1"/>
  <c r="G31" i="15"/>
  <c r="I31" i="15" s="1"/>
  <c r="G30" i="15"/>
  <c r="I30" i="15" s="1"/>
  <c r="G29" i="15"/>
  <c r="I29" i="15" s="1"/>
  <c r="G28" i="15"/>
  <c r="I28" i="15" s="1"/>
  <c r="G27" i="15"/>
  <c r="I27" i="15" s="1"/>
  <c r="G26" i="15"/>
  <c r="I26" i="15" s="1"/>
  <c r="G25" i="15"/>
  <c r="I25" i="15" s="1"/>
  <c r="G24" i="15"/>
  <c r="I24" i="15" s="1"/>
  <c r="G23" i="15"/>
  <c r="I23" i="15" s="1"/>
  <c r="I22" i="15"/>
  <c r="I21" i="15"/>
  <c r="I20" i="15"/>
  <c r="G19" i="15"/>
  <c r="I19" i="15" s="1"/>
  <c r="G18" i="15"/>
  <c r="I18" i="15" s="1"/>
  <c r="G17" i="15"/>
  <c r="I17" i="15" s="1"/>
  <c r="G16" i="15"/>
  <c r="I16" i="15" s="1"/>
  <c r="G15" i="15"/>
  <c r="I15" i="15" s="1"/>
  <c r="G14" i="15"/>
  <c r="I14" i="15" s="1"/>
  <c r="G13" i="15"/>
  <c r="I13" i="15" s="1"/>
  <c r="G12" i="15"/>
  <c r="I12" i="15" s="1"/>
  <c r="G11" i="15"/>
  <c r="I11" i="15" s="1"/>
  <c r="G10" i="15"/>
  <c r="I10" i="15" s="1"/>
  <c r="G9" i="15"/>
  <c r="I9" i="15" s="1"/>
  <c r="I8" i="15"/>
  <c r="I27" i="2"/>
  <c r="I26" i="2"/>
  <c r="I25" i="2"/>
  <c r="I24" i="2"/>
  <c r="I22" i="2"/>
  <c r="I21" i="2"/>
  <c r="I20" i="2"/>
  <c r="I19" i="2"/>
  <c r="I18" i="2"/>
  <c r="I16" i="2"/>
  <c r="I15" i="2" s="1"/>
  <c r="I14" i="2"/>
  <c r="I13" i="2"/>
  <c r="I12" i="2"/>
  <c r="I10" i="2"/>
  <c r="I8" i="2"/>
  <c r="I7" i="2"/>
  <c r="I19" i="1" l="1"/>
  <c r="D11" i="20" s="1"/>
  <c r="E11" i="20" s="1"/>
  <c r="J13" i="12"/>
  <c r="J7" i="12"/>
  <c r="G12" i="1"/>
  <c r="G9" i="1"/>
  <c r="J11" i="12"/>
  <c r="I35" i="13"/>
  <c r="F11" i="1" s="1"/>
  <c r="I7" i="13"/>
  <c r="F8" i="1" s="1"/>
  <c r="I22" i="13"/>
  <c r="F9" i="1" s="1"/>
  <c r="I63" i="13"/>
  <c r="F14" i="1" s="1"/>
  <c r="I49" i="13"/>
  <c r="F12" i="1" s="1"/>
  <c r="I55" i="13"/>
  <c r="F13" i="1" s="1"/>
  <c r="D15" i="1"/>
  <c r="L15" i="1" s="1"/>
  <c r="I17" i="2"/>
  <c r="D7" i="1"/>
  <c r="I23" i="2"/>
  <c r="I9" i="2"/>
  <c r="D14" i="1"/>
  <c r="I11" i="2"/>
  <c r="D11" i="1"/>
  <c r="D12" i="1"/>
  <c r="J17" i="12"/>
  <c r="I67" i="15"/>
  <c r="I36" i="15"/>
  <c r="I68" i="15"/>
  <c r="I113" i="15"/>
  <c r="I97" i="15"/>
  <c r="I124" i="15"/>
  <c r="I40" i="15"/>
  <c r="I117" i="15"/>
  <c r="I7" i="15"/>
  <c r="I75" i="15"/>
  <c r="I103" i="15"/>
  <c r="G11" i="1" l="1"/>
  <c r="G14" i="1"/>
  <c r="G13" i="1"/>
  <c r="G8" i="1"/>
  <c r="F19" i="1"/>
  <c r="D6" i="20" s="1"/>
  <c r="E6" i="20" s="1"/>
  <c r="D16" i="1"/>
  <c r="L16" i="1" s="1"/>
  <c r="D8" i="1"/>
  <c r="D9" i="1"/>
  <c r="D13" i="1"/>
  <c r="E11" i="1"/>
  <c r="I60" i="15"/>
  <c r="E10" i="1" s="1"/>
  <c r="L10" i="1" s="1"/>
  <c r="K9" i="1"/>
  <c r="I129" i="15"/>
  <c r="E18" i="1"/>
  <c r="L18" i="1" s="1"/>
  <c r="E7" i="1"/>
  <c r="L7" i="1" s="1"/>
  <c r="E12" i="1"/>
  <c r="L12" i="1" s="1"/>
  <c r="E13" i="1"/>
  <c r="E17" i="1"/>
  <c r="L17" i="1" s="1"/>
  <c r="E14" i="1"/>
  <c r="E8" i="1"/>
  <c r="G19" i="1" l="1"/>
  <c r="D8" i="20" s="1"/>
  <c r="E8" i="20" s="1"/>
  <c r="L11" i="1"/>
  <c r="L14" i="1"/>
  <c r="I128" i="15"/>
  <c r="L13" i="1"/>
  <c r="D19" i="1"/>
  <c r="D3" i="19"/>
  <c r="E3" i="19" s="1"/>
  <c r="D4" i="20"/>
  <c r="E4" i="20" s="1"/>
  <c r="E13" i="20" s="1"/>
  <c r="L8" i="1"/>
  <c r="K19" i="1"/>
  <c r="D12" i="20" s="1"/>
  <c r="E12" i="20" s="1"/>
  <c r="L9" i="1"/>
  <c r="E19" i="1"/>
  <c r="D5" i="20" s="1"/>
  <c r="D5" i="19" l="1"/>
  <c r="E5" i="19" s="1"/>
  <c r="L19" i="1"/>
  <c r="E5" i="20"/>
  <c r="D13" i="20"/>
  <c r="A21" i="12"/>
  <c r="A20" i="12"/>
  <c r="A19" i="12"/>
  <c r="A18" i="12"/>
  <c r="A17" i="12"/>
  <c r="A16" i="12"/>
  <c r="A15" i="12"/>
  <c r="A14" i="12"/>
  <c r="A13" i="12"/>
  <c r="A27" i="2"/>
  <c r="A26" i="2"/>
  <c r="A25" i="2"/>
  <c r="A24" i="2"/>
  <c r="A23" i="2"/>
  <c r="A22" i="2"/>
  <c r="A21" i="2"/>
  <c r="A20" i="2"/>
  <c r="A19" i="2"/>
  <c r="A9" i="1" l="1"/>
  <c r="A10" i="1"/>
  <c r="A11" i="1"/>
  <c r="A12" i="1"/>
  <c r="A13" i="1"/>
  <c r="A14" i="1"/>
  <c r="A15" i="1"/>
  <c r="A16" i="1"/>
  <c r="A17" i="1"/>
  <c r="A18" i="1"/>
  <c r="C126" i="15"/>
  <c r="A126" i="15"/>
  <c r="C125" i="15"/>
  <c r="A125" i="15"/>
  <c r="C124" i="15"/>
  <c r="A124" i="15"/>
  <c r="C122" i="15"/>
  <c r="A122" i="15"/>
  <c r="C121" i="15"/>
  <c r="A121" i="15"/>
  <c r="C119" i="15"/>
  <c r="A119" i="15"/>
  <c r="C118" i="15"/>
  <c r="A118" i="15"/>
  <c r="C117" i="15"/>
  <c r="A117" i="15"/>
  <c r="C73" i="15"/>
  <c r="A73" i="15"/>
  <c r="C72" i="15"/>
  <c r="A72" i="15"/>
  <c r="C70" i="15"/>
  <c r="A70" i="15"/>
  <c r="C69" i="15"/>
  <c r="A69" i="15"/>
  <c r="A18" i="2" l="1"/>
  <c r="A17" i="2"/>
  <c r="A15" i="2"/>
  <c r="A66" i="13" l="1"/>
  <c r="A65" i="13"/>
  <c r="A64" i="13"/>
  <c r="A63" i="13"/>
  <c r="C116" i="15"/>
  <c r="A116" i="15"/>
  <c r="C115" i="15"/>
  <c r="A115" i="15"/>
  <c r="C114" i="15"/>
  <c r="A114" i="15"/>
  <c r="C113" i="15"/>
  <c r="A113" i="15"/>
  <c r="A62" i="13"/>
  <c r="A61" i="13"/>
  <c r="A60" i="13"/>
  <c r="A59" i="13"/>
  <c r="A58" i="13"/>
  <c r="A57" i="13"/>
  <c r="A56" i="13"/>
  <c r="A55" i="13"/>
  <c r="C112" i="15"/>
  <c r="A112" i="15"/>
  <c r="C111" i="15"/>
  <c r="A111" i="15"/>
  <c r="C110" i="15"/>
  <c r="A110" i="15"/>
  <c r="C109" i="15"/>
  <c r="A109" i="15"/>
  <c r="C108" i="15"/>
  <c r="A108" i="15"/>
  <c r="C107" i="15"/>
  <c r="A107" i="15"/>
  <c r="C106" i="15"/>
  <c r="A106" i="15"/>
  <c r="C105" i="15"/>
  <c r="A105" i="15"/>
  <c r="C104" i="15"/>
  <c r="A104" i="15"/>
  <c r="C103" i="15"/>
  <c r="A103" i="15"/>
  <c r="A52" i="13"/>
  <c r="A51" i="13"/>
  <c r="A50" i="13"/>
  <c r="A49" i="13"/>
  <c r="A102" i="15"/>
  <c r="C101" i="15"/>
  <c r="A101" i="15"/>
  <c r="C100" i="15"/>
  <c r="A100" i="15"/>
  <c r="C99" i="15"/>
  <c r="A99" i="15"/>
  <c r="C98" i="15"/>
  <c r="A98" i="15"/>
  <c r="C97" i="15"/>
  <c r="A97" i="15"/>
  <c r="A9" i="17"/>
  <c r="A12" i="12"/>
  <c r="A11" i="12"/>
  <c r="A48" i="13"/>
  <c r="A47" i="13"/>
  <c r="A46" i="13"/>
  <c r="A45" i="13"/>
  <c r="A44" i="13"/>
  <c r="A43" i="13"/>
  <c r="A42" i="13"/>
  <c r="A41" i="13"/>
  <c r="A40" i="13"/>
  <c r="A39" i="13"/>
  <c r="A38" i="13"/>
  <c r="A37" i="13"/>
  <c r="A36" i="13"/>
  <c r="A35" i="13"/>
  <c r="A96" i="15"/>
  <c r="C95" i="15"/>
  <c r="A95" i="15"/>
  <c r="C94" i="15"/>
  <c r="A94" i="15"/>
  <c r="C93" i="15"/>
  <c r="A93" i="15"/>
  <c r="C92" i="15"/>
  <c r="A92" i="15"/>
  <c r="C91" i="15"/>
  <c r="A91" i="15"/>
  <c r="C90" i="15"/>
  <c r="A90" i="15"/>
  <c r="C89" i="15"/>
  <c r="A89" i="15"/>
  <c r="C88" i="15"/>
  <c r="A88" i="15"/>
  <c r="C87" i="15"/>
  <c r="A87" i="15"/>
  <c r="C86" i="15"/>
  <c r="A86" i="15"/>
  <c r="C85" i="15"/>
  <c r="A85" i="15"/>
  <c r="C84" i="15"/>
  <c r="A84" i="15"/>
  <c r="C83" i="15"/>
  <c r="A83" i="15"/>
  <c r="C82" i="15"/>
  <c r="A82" i="15"/>
  <c r="C81" i="15"/>
  <c r="A81" i="15"/>
  <c r="C80" i="15"/>
  <c r="A80" i="15"/>
  <c r="C79" i="15"/>
  <c r="A79" i="15"/>
  <c r="C78" i="15"/>
  <c r="A78" i="15"/>
  <c r="C77" i="15"/>
  <c r="A77" i="15"/>
  <c r="C76" i="15"/>
  <c r="A76" i="15"/>
  <c r="C75" i="15"/>
  <c r="A75" i="15"/>
  <c r="A14" i="2"/>
  <c r="A13" i="2"/>
  <c r="A67" i="15"/>
  <c r="A66" i="15"/>
  <c r="A65" i="15"/>
  <c r="A64" i="15"/>
  <c r="A63" i="15"/>
  <c r="A62" i="15"/>
  <c r="A61" i="15"/>
  <c r="C60" i="15"/>
  <c r="A60" i="15"/>
  <c r="A9" i="18"/>
  <c r="A8" i="18"/>
  <c r="A8" i="17"/>
  <c r="A10" i="12"/>
  <c r="A9" i="12"/>
  <c r="A34" i="13"/>
  <c r="A33" i="13"/>
  <c r="A32" i="13"/>
  <c r="A31" i="13"/>
  <c r="A30" i="13"/>
  <c r="A29" i="13"/>
  <c r="A28" i="13"/>
  <c r="A27" i="13"/>
  <c r="A26" i="13"/>
  <c r="A25" i="13"/>
  <c r="A24" i="13"/>
  <c r="A23" i="13"/>
  <c r="A22" i="13"/>
  <c r="C59" i="15"/>
  <c r="A59" i="15"/>
  <c r="C58" i="15"/>
  <c r="A58" i="15"/>
  <c r="C57" i="15"/>
  <c r="A57" i="15"/>
  <c r="C56" i="15"/>
  <c r="A56" i="15"/>
  <c r="C55" i="15"/>
  <c r="A55" i="15"/>
  <c r="C54" i="15"/>
  <c r="A54" i="15"/>
  <c r="C53" i="15"/>
  <c r="A53" i="15"/>
  <c r="C52" i="15"/>
  <c r="A52" i="15"/>
  <c r="C51" i="15"/>
  <c r="A51" i="15"/>
  <c r="C50" i="15"/>
  <c r="A50" i="15"/>
  <c r="C49" i="15"/>
  <c r="A49" i="15"/>
  <c r="C48" i="15"/>
  <c r="A48" i="15"/>
  <c r="C47" i="15"/>
  <c r="A47" i="15"/>
  <c r="C46" i="15"/>
  <c r="A46" i="15"/>
  <c r="C45" i="15"/>
  <c r="A45" i="15"/>
  <c r="C44" i="15"/>
  <c r="A44" i="15"/>
  <c r="C43" i="15"/>
  <c r="A43" i="15"/>
  <c r="C42" i="15"/>
  <c r="A42" i="15"/>
  <c r="C41" i="15"/>
  <c r="A41" i="15"/>
  <c r="C40" i="15"/>
  <c r="A40" i="15"/>
  <c r="A12" i="2"/>
  <c r="A11" i="2"/>
  <c r="A7" i="2" l="1"/>
  <c r="A8" i="2"/>
  <c r="A8" i="9" l="1"/>
  <c r="A9" i="9"/>
  <c r="A10" i="9"/>
  <c r="A11" i="9"/>
  <c r="A12" i="9"/>
  <c r="A13" i="9"/>
  <c r="A14" i="9"/>
  <c r="A15" i="9"/>
  <c r="A16" i="9"/>
  <c r="A17" i="9"/>
  <c r="A18" i="9"/>
  <c r="A19" i="9"/>
  <c r="A20" i="9"/>
  <c r="A21" i="9"/>
  <c r="A22" i="9"/>
  <c r="A23" i="9"/>
  <c r="A24" i="9"/>
  <c r="A7" i="1" l="1"/>
  <c r="A8" i="1"/>
  <c r="O17" i="9" l="1"/>
  <c r="A7" i="9"/>
  <c r="A7" i="15" l="1"/>
  <c r="A36" i="15"/>
  <c r="A37" i="15"/>
  <c r="A38" i="15"/>
  <c r="A39" i="15"/>
  <c r="C39" i="15"/>
  <c r="C38" i="15"/>
  <c r="C37" i="15"/>
  <c r="C36" i="15"/>
  <c r="C7" i="15"/>
  <c r="A7" i="13"/>
  <c r="A8" i="13"/>
  <c r="A9" i="13"/>
  <c r="A10" i="13"/>
  <c r="A11" i="13"/>
  <c r="A12" i="13"/>
  <c r="A13" i="13"/>
  <c r="A14" i="13"/>
  <c r="A15" i="13"/>
  <c r="A16" i="13"/>
  <c r="A17" i="13"/>
  <c r="A18" i="13"/>
  <c r="A19" i="13"/>
  <c r="A20" i="13"/>
  <c r="A21" i="13"/>
  <c r="A7" i="12" l="1"/>
  <c r="A8" i="12"/>
  <c r="A9" i="2"/>
  <c r="A10" i="2"/>
</calcChain>
</file>

<file path=xl/sharedStrings.xml><?xml version="1.0" encoding="utf-8"?>
<sst xmlns="http://schemas.openxmlformats.org/spreadsheetml/2006/main" count="783" uniqueCount="372">
  <si>
    <t>TT</t>
  </si>
  <si>
    <t>Họ và tên</t>
  </si>
  <si>
    <t>Số tờ BĐ</t>
  </si>
  <si>
    <t>Số thửa</t>
  </si>
  <si>
    <t>Loại đất</t>
  </si>
  <si>
    <t>Đơn giá</t>
  </si>
  <si>
    <t>Thành tiền</t>
  </si>
  <si>
    <t>Ghi chú</t>
  </si>
  <si>
    <t>T. Nà Tạ</t>
  </si>
  <si>
    <t>ONT</t>
  </si>
  <si>
    <t>m2</t>
  </si>
  <si>
    <t>BHK</t>
  </si>
  <si>
    <t>Diện tích
(m2)</t>
  </si>
  <si>
    <t xml:space="preserve">Địa chỉ </t>
  </si>
  <si>
    <t>Quy cách tài sản, vật kiến trúc</t>
  </si>
  <si>
    <t>Khối lượng</t>
  </si>
  <si>
    <t>Diễn giải</t>
  </si>
  <si>
    <t>m</t>
  </si>
  <si>
    <t>m3</t>
  </si>
  <si>
    <t>Địa chỉ</t>
  </si>
  <si>
    <t>Tên cây trồng</t>
  </si>
  <si>
    <t>Quy cách cây trồng</t>
  </si>
  <si>
    <t>Số lượng</t>
  </si>
  <si>
    <t>cây</t>
  </si>
  <si>
    <t>Cây có quả, ĐK 5 cm</t>
  </si>
  <si>
    <t>Cây mới trồng</t>
  </si>
  <si>
    <t>Cây Quế</t>
  </si>
  <si>
    <t>Cây Chuối hột</t>
  </si>
  <si>
    <t>Hoàng Văn Giang</t>
  </si>
  <si>
    <t>Cây Ổi</t>
  </si>
  <si>
    <t>Cây Nhãn</t>
  </si>
  <si>
    <t>Dương Văn Đệ</t>
  </si>
  <si>
    <t>Cây có ĐK 1 cm</t>
  </si>
  <si>
    <t>Cây Đu đủ</t>
  </si>
  <si>
    <t>Cây Bưởi</t>
  </si>
  <si>
    <t>Cây dược liệu</t>
  </si>
  <si>
    <t>Hoàng Văn Biên</t>
  </si>
  <si>
    <t>Cây chưa quả</t>
  </si>
  <si>
    <t>Hoàng Văn Bộ</t>
  </si>
  <si>
    <t>Đào Thiện Khiêm</t>
  </si>
  <si>
    <t>Nông Xuân Hạp</t>
  </si>
  <si>
    <t>Cây Hồng</t>
  </si>
  <si>
    <t>Cây Đinh lăng</t>
  </si>
  <si>
    <t>Cây Xả</t>
  </si>
  <si>
    <t>Gừng</t>
  </si>
  <si>
    <t>Cây Vạn tuế</t>
  </si>
  <si>
    <t>Cây có quả, ĐK  20 cm</t>
  </si>
  <si>
    <t>Cây chưa quả, ĐK 3 cm</t>
  </si>
  <si>
    <t>Cây cao &gt; 1,0 m</t>
  </si>
  <si>
    <t>0,1*0,1*1,8*9</t>
  </si>
  <si>
    <t>1,5*5,4</t>
  </si>
  <si>
    <t>10,0*1,5</t>
  </si>
  <si>
    <t>Nguyễn Viết Nghĩa</t>
  </si>
  <si>
    <t>cái</t>
  </si>
  <si>
    <t>Hoàng Văn Thần</t>
  </si>
  <si>
    <t>Sằm Văn Toan</t>
  </si>
  <si>
    <t>Dương Văn Thậm</t>
  </si>
  <si>
    <t>Hoàng Văn Long</t>
  </si>
  <si>
    <t>Hoàng Văn Hàm</t>
  </si>
  <si>
    <t>- Xây tường bằng gạch chỉ:</t>
  </si>
  <si>
    <t>- Trát tường:</t>
  </si>
  <si>
    <t>- Di chuyển téc nước:</t>
  </si>
  <si>
    <t>- Giếng khoan:</t>
  </si>
  <si>
    <t>Hoàng Văn Phóng</t>
  </si>
  <si>
    <t>Triệu Văn Tuấn</t>
  </si>
  <si>
    <t>Nguyễn Viết Thơi</t>
  </si>
  <si>
    <t>- Xây móng tường rào bằng đá hộc:</t>
  </si>
  <si>
    <t>Ma Thế Tường</t>
  </si>
  <si>
    <t>Hoàng Văn Họa</t>
  </si>
  <si>
    <t>Đối tượng hỗ trợ</t>
  </si>
  <si>
    <t>Tổng số tiền hỗ trợ</t>
  </si>
  <si>
    <t>DTTS</t>
  </si>
  <si>
    <t>Phụ nữ là chủ hộ</t>
  </si>
  <si>
    <t>Chủ hộ là người khuyết tật</t>
  </si>
  <si>
    <t>Hộ gia đình chính sách</t>
  </si>
  <si>
    <t>Hộ nghèo</t>
  </si>
  <si>
    <t>Hộ di dời và tái định cư tại chỗ</t>
  </si>
  <si>
    <t>Mất trên 10% đất sản xuất</t>
  </si>
  <si>
    <t>x</t>
  </si>
  <si>
    <t>cây sắp được thu hoạch</t>
  </si>
  <si>
    <t>Trịnh Thị Tần</t>
  </si>
  <si>
    <t>Mức hỗ trợ</t>
  </si>
  <si>
    <t>Bồi thường 
về tài sản</t>
  </si>
  <si>
    <t>Bồi thường 
về cây cối</t>
  </si>
  <si>
    <t>Tổng cộng:</t>
  </si>
  <si>
    <t>Hỗ trợ hộ dễ bị tổn thương về KT-XH</t>
  </si>
  <si>
    <t>ĐVT</t>
  </si>
  <si>
    <t>Tổng cộng</t>
  </si>
  <si>
    <t>STT</t>
  </si>
  <si>
    <t>Trợ cấp di dời</t>
  </si>
  <si>
    <t>Hỗ trợ tháo dỡ nhà cửa</t>
  </si>
  <si>
    <t>Trợ cấp tiền thuê nhà (đồng)</t>
  </si>
  <si>
    <t>Hỗ trợ di chuyển máy móc</t>
  </si>
  <si>
    <t>Tổng tiền</t>
  </si>
  <si>
    <t>Trong tỉnh (đồng)</t>
  </si>
  <si>
    <t>Ngoài tỉnh (đồng)</t>
  </si>
  <si>
    <t>Nhà kiên cố
(đồng)</t>
  </si>
  <si>
    <t>Nhà tạm (đồng)</t>
  </si>
  <si>
    <t>Công trình: Xây dựng cầu Cốc Phát và cải tạo đường tỉnh ĐT258B, tỉnh Bắc Kạn (đoạn Ba Bể - Pác Nặm)</t>
  </si>
  <si>
    <t>Đơn vị tính: VNĐ</t>
  </si>
  <si>
    <t>HỖ TRỢ ĐÀO TẠO CHUYỂN ĐỔI NGHỀ VÀ TÌM KIẾM VIỆC LÀM</t>
  </si>
  <si>
    <t xml:space="preserve">Địa phận: Xã Thượng Giáo, huyện Ba Bể, tỉnh Bắc Kạn </t>
  </si>
  <si>
    <t>Tỷ lệ đất nông nghiệp bị thu hồi</t>
  </si>
  <si>
    <t>Số nhân khẩu được hỗ trợ</t>
  </si>
  <si>
    <t>Số tháng
hỗ trợ</t>
  </si>
  <si>
    <t>Số kg gạo hỗ trợ/1 nhân khẩu</t>
  </si>
  <si>
    <t>BỒI THƯỜNG CHI PHÍ THÁO DỠ, DI CHUYỂN VÀ LẮP ĐẶT TÀI SẢN</t>
  </si>
  <si>
    <t>- Hàng rào lưới thép B40, cột bê tông, buộc thép:</t>
  </si>
  <si>
    <t>- Hàng rào tre đan dày:</t>
  </si>
  <si>
    <t>- Lưới thép B40, cột bê tông:</t>
  </si>
  <si>
    <t>Cây có ĐK&lt;30cm</t>
  </si>
  <si>
    <t>Bồi thường về 
đất đai</t>
  </si>
  <si>
    <t>Địa chỉ 
thường trú</t>
  </si>
  <si>
    <t>Tổng số nhân khẩu</t>
  </si>
  <si>
    <t>Di chuyển chỗ ở</t>
  </si>
  <si>
    <t>không</t>
  </si>
  <si>
    <t>Đơn giá 
gạo</t>
  </si>
  <si>
    <t>Đơn vị</t>
  </si>
  <si>
    <t>- Bê tông đá 1x2 cọc bê tông (cột dựng làm ranh giới):</t>
  </si>
  <si>
    <t>- Cánh cổng khung thép hộp mạ kẽm:</t>
  </si>
  <si>
    <t>- xây trụ bằng gạch chỉ :</t>
  </si>
  <si>
    <t>- trát trụ:</t>
  </si>
  <si>
    <t xml:space="preserve">+ 30m đất </t>
  </si>
  <si>
    <t>+ 10m đá</t>
  </si>
  <si>
    <t>- Bê tông đỡ téc nước đá 1x2 :</t>
  </si>
  <si>
    <t>- Xây tường bằng gạch XMC:</t>
  </si>
  <si>
    <t>- Bê tông tấm đan đá 1×2:</t>
  </si>
  <si>
    <t>- Lát đá hoa loại 400x400:</t>
  </si>
  <si>
    <t>- Xây tường bếp lò bằng gạch chỉ:</t>
  </si>
  <si>
    <t>- xây tường ống khói bằng gạch chỉ:</t>
  </si>
  <si>
    <t>- Lợp mái bằng tôn thường:</t>
  </si>
  <si>
    <t>- Lát gạch men đỏ sân:</t>
  </si>
  <si>
    <t>- Bán mái lợp phibro XM:</t>
  </si>
  <si>
    <t>- Đào đất giếng bằng thủ công:</t>
  </si>
  <si>
    <t>- Xây cuộn bi giếng bằng gạch chỉ:</t>
  </si>
  <si>
    <t>- Bê tông đường lên nhà:</t>
  </si>
  <si>
    <t xml:space="preserve">2,8*2,3 </t>
  </si>
  <si>
    <t xml:space="preserve">0,45*0,45*2,7*2 </t>
  </si>
  <si>
    <t xml:space="preserve">0,45*2,7 *4*2 </t>
  </si>
  <si>
    <t>1,55*6,2*0,11+1,55*2,55*0,11</t>
  </si>
  <si>
    <t xml:space="preserve">0,22*0,2*(6,2 + 2,55) </t>
  </si>
  <si>
    <t xml:space="preserve">6,2*1,55*2 + 2,55*1,55*2 </t>
  </si>
  <si>
    <t xml:space="preserve">(2,55+2,8+6,22 )*0,4*0,8 </t>
  </si>
  <si>
    <t xml:space="preserve">9,0*1,1*0, 11 </t>
  </si>
  <si>
    <t xml:space="preserve">9,0*1,1*2 </t>
  </si>
  <si>
    <t xml:space="preserve">9,0*0, 4*0,8 </t>
  </si>
  <si>
    <t>(9,0+2,55+6,22) x 1,0</t>
  </si>
  <si>
    <t xml:space="preserve">0,3*0,2*0,2*4 </t>
  </si>
  <si>
    <t xml:space="preserve">0,77*0,8*0,11*2 </t>
  </si>
  <si>
    <t>1,2*0,9*0,1</t>
  </si>
  <si>
    <t xml:space="preserve">1,2*0,9 </t>
  </si>
  <si>
    <t xml:space="preserve">0,3*0,55*0,11*2 </t>
  </si>
  <si>
    <t>0,47*0,75*0,6+0,37*0,67*1,1</t>
  </si>
  <si>
    <t>0,35*0,35*2,3 - 3, 14*0,5^2*2,3</t>
  </si>
  <si>
    <t xml:space="preserve">8,5*1,8 </t>
  </si>
  <si>
    <t xml:space="preserve">1,6*2,7+2,4*3,5 + 6,0*2,0 </t>
  </si>
  <si>
    <t xml:space="preserve">4,2*4,0 </t>
  </si>
  <si>
    <t xml:space="preserve">3,1*1,9*0,07 </t>
  </si>
  <si>
    <t>3,14*(1,5/2)*(1,5/2)*8</t>
  </si>
  <si>
    <t>3,14*8,0*(0,75*0,75-0,65*0,65)</t>
  </si>
  <si>
    <t>Hỗ trợ ổn 
định đời sống</t>
  </si>
  <si>
    <t>Hỗ trợ đào tạo chuyển đổi nghề và tìm kiếm 
việc làm</t>
  </si>
  <si>
    <t>Di chuyển máy móc</t>
  </si>
  <si>
    <t>Tháo dỡ quán bán hàng, nhà cho thuê</t>
  </si>
  <si>
    <t>Tháo dỡ nhà ở</t>
  </si>
  <si>
    <t>Hoàng Văn Ba</t>
  </si>
  <si>
    <t>CLN</t>
  </si>
  <si>
    <t>1. Nhà nền đất khung cột gỗ nhóm IV - V, mái lợp fibroximang:</t>
  </si>
  <si>
    <t>- Diện tích:</t>
  </si>
  <si>
    <t>7,8*8,0</t>
  </si>
  <si>
    <t>- Làm tường bằng gỗ ván nhóm VI, ghép khít:</t>
  </si>
  <si>
    <t>0,9*1,95+2,4*2,2+3,6*2,1+1,5*2,2+2,5*2,1+0,67*1,83+1,26*2,2+1,6*2,35+1,05*2,4+0,6*2,0+1,35*1,7+2,4*2,3+4,5*2,2+0,55*2,0+1,2*2,0+2,5*2,0+1,4*2,2</t>
  </si>
  <si>
    <t>- Làm vách bằng tôn múi (tôn thường):</t>
  </si>
  <si>
    <t>3,9*3,5+2,0*3,0</t>
  </si>
  <si>
    <t>- Làm vách bằng tre mai:</t>
  </si>
  <si>
    <t>1,6*2,0+1,3*1,95+0,8*1,8+2,7*2,0</t>
  </si>
  <si>
    <t>- Làm cửa bằng khung nhôm kính 5x25mm, có bịt tôn:</t>
  </si>
  <si>
    <t>0,9*2,15</t>
  </si>
  <si>
    <t>- Làm trần bằng gỗ tạp bào nhẵn ghép khít:</t>
  </si>
  <si>
    <t>6,0*7,8</t>
  </si>
  <si>
    <t>- Xây móng nhà bằng gạch xi măng cát:</t>
  </si>
  <si>
    <t>0,4*0,4*(8+7,8+8+7,8)</t>
  </si>
  <si>
    <t>- Xây tường chắn móng bằng gạch xi măng cát (phần khối lượng do gia đình tự khai báo)</t>
  </si>
  <si>
    <t>(2,5*7,0*(0,9+0,4)/2)+(6,0*1,7*(0,9+0,4)/2)+(7,0*1,2*(0,9+0,4)/2)</t>
  </si>
  <si>
    <t>- Bê tông nền nhà đá 1x2:</t>
  </si>
  <si>
    <t>7,8*8,0*0,07</t>
  </si>
  <si>
    <t>- Bán mái lợp fibroximang xà gồ gỗ, cột gỗ:</t>
  </si>
  <si>
    <t>4,0*2,2</t>
  </si>
  <si>
    <t>- Láng vữa xi măng đường lên xuống không đánh màu:</t>
  </si>
  <si>
    <t>2,1*1,9</t>
  </si>
  <si>
    <t>+ Khoan đá:</t>
  </si>
  <si>
    <t>+ Khoan đất:</t>
  </si>
  <si>
    <t>- Hàng rào lưới thép B40, khung thép 16x16mm:</t>
  </si>
  <si>
    <t>42,0*1,2</t>
  </si>
  <si>
    <t>- Hàng rào lưới thép B40 cột gỗ buộc thép:</t>
  </si>
  <si>
    <t>42,0*0,8</t>
  </si>
  <si>
    <t>- Bể phốt nhà 1 tầng:</t>
  </si>
  <si>
    <t>1,5*1,6*2,0</t>
  </si>
  <si>
    <t>- Di chuyển xít bệt:</t>
  </si>
  <si>
    <t>Cây trứng cá</t>
  </si>
  <si>
    <t>Cây có quả, ĐK 10 cm</t>
  </si>
  <si>
    <t>Cây Đào</t>
  </si>
  <si>
    <t>Cây có quả, ĐK 2 cm</t>
  </si>
  <si>
    <t>Cây Hồng xiêm</t>
  </si>
  <si>
    <t>Cây chưa quả, ĐK 1 cm</t>
  </si>
  <si>
    <t>Cây Quất</t>
  </si>
  <si>
    <t>Cây Giềng</t>
  </si>
  <si>
    <t>Cây có quả non</t>
  </si>
  <si>
    <t>Cây Mía</t>
  </si>
  <si>
    <t>Chưa cho thu hoạch</t>
  </si>
  <si>
    <t>bụi</t>
  </si>
  <si>
    <t>Cây Đinh Lăng</t>
  </si>
  <si>
    <t>Cho thu hoạch</t>
  </si>
  <si>
    <t>Cây Xoan</t>
  </si>
  <si>
    <t>Cây có ĐK 15 cm</t>
  </si>
  <si>
    <t>Cây Rau ngót</t>
  </si>
  <si>
    <t>md</t>
  </si>
  <si>
    <t>Thu hồi nhà ở</t>
  </si>
  <si>
    <t>Hỗ trợ tháo dỡ, di chuyển nhà, máy móc</t>
  </si>
  <si>
    <t>Giếng khoan (đã phê duyệt và nhận tiền theo Quyết định số 1377/QĐ-UBND ngày 17/7/2023 của UBND huyện Ba Bể):</t>
  </si>
  <si>
    <t>- Khoan đất:</t>
  </si>
  <si>
    <t>Đề nghị điều chỉnh:</t>
  </si>
  <si>
    <t>- Khoan đá:</t>
  </si>
  <si>
    <t>Chênh lệch về bồi thường giếng khoan:</t>
  </si>
  <si>
    <t>1. Phạm vi bán mái:</t>
  </si>
  <si>
    <t>- Bán mái lợp fibroximang:</t>
  </si>
  <si>
    <t>2,8*6,2</t>
  </si>
  <si>
    <t>- Láng nền hiên không đánh màu:</t>
  </si>
  <si>
    <t>- Xây tường bao bằng gạch chi:</t>
  </si>
  <si>
    <t>3,5*1,6*0,11+(1,7*2,7+11,2*1,5)*0,11</t>
  </si>
  <si>
    <t>- Xây móng bằng đá hộc:</t>
  </si>
  <si>
    <t>3,5*0,4*0,4</t>
  </si>
  <si>
    <t>- Xây trụ bằng gạch chỉ:</t>
  </si>
  <si>
    <t>2,8*0,22*0,22*3</t>
  </si>
  <si>
    <t>- Hàng rào lưới thép B40, cột gỗ:</t>
  </si>
  <si>
    <t>11,2*0,8+(3,5+2,7)*0,8</t>
  </si>
  <si>
    <t>- Xây bó bờ bằng gạch chỉ:</t>
  </si>
  <si>
    <t>3,2*0,5*0,11</t>
  </si>
  <si>
    <t>2. Phạm vi chuồng lợn:</t>
  </si>
  <si>
    <t>- Lợp mái chuồng lợn bằng fibroximang:</t>
  </si>
  <si>
    <t>6,0*3,3</t>
  </si>
  <si>
    <t>- Xây tường bằng gạch xi măng cát:</t>
  </si>
  <si>
    <t>9,5*0,9*0,1</t>
  </si>
  <si>
    <t>- Nền chuồng lợn bằng bê tông đá 2x4:</t>
  </si>
  <si>
    <t>3,0*5,4*0,05</t>
  </si>
  <si>
    <t>3. Phạm vi nhà máy sát thóc:</t>
  </si>
  <si>
    <t>- Xây tường gạch xi măng cát:</t>
  </si>
  <si>
    <t>(3,1*2+2,8*2+0,4*2)*1,7*0,1</t>
  </si>
  <si>
    <t>- Bê tông nền đá 1x2:</t>
  </si>
  <si>
    <t>3,0*2,7*0,05</t>
  </si>
  <si>
    <t>- Xây tường gạch chỉ:</t>
  </si>
  <si>
    <t>3,1*0,9*2*0,11</t>
  </si>
  <si>
    <t>- Làm vách tường bằng gỗ tạp, ghép khít:</t>
  </si>
  <si>
    <t>1,75*1,75</t>
  </si>
  <si>
    <t>- Mái lợp fibroximang:</t>
  </si>
  <si>
    <t>3,1*2,8</t>
  </si>
  <si>
    <t>- Di chuyển máy sát thóc</t>
  </si>
  <si>
    <t>máy</t>
  </si>
  <si>
    <t>- Cửa khung thép hộp, bịt tôn</t>
  </si>
  <si>
    <t>2,0*1,3</t>
  </si>
  <si>
    <t>Cây có quả, ĐK 15 cm</t>
  </si>
  <si>
    <t>Cây gỗ tạp (lúc lắc)</t>
  </si>
  <si>
    <t>Cây có ĐK 20 cm</t>
  </si>
  <si>
    <t>Cây Na</t>
  </si>
  <si>
    <t>Cây Hoa Sữa</t>
  </si>
  <si>
    <t>Cây quả vả</t>
  </si>
  <si>
    <t>Cây có ĐK 2 cm</t>
  </si>
  <si>
    <t>Cây ớt</t>
  </si>
  <si>
    <t>Cây có quả</t>
  </si>
  <si>
    <t>Cây Chuối tây</t>
  </si>
  <si>
    <t>Cây cao &gt; 1,0m, chưa buồng</t>
  </si>
  <si>
    <t>Cây cao &lt; 1,0</t>
  </si>
  <si>
    <t>Cây Ngô</t>
  </si>
  <si>
    <t>Cây chuẩn bị ra bắp</t>
  </si>
  <si>
    <t>Cây rau ngót nhà</t>
  </si>
  <si>
    <t>Bụi non</t>
  </si>
  <si>
    <t>- Hàng rào lưới thép B40 khung thép hộp 2x4:</t>
  </si>
  <si>
    <t>30*1,3</t>
  </si>
  <si>
    <t>- Bán mái lợp fibroximăng xà gồ gỗ, cột gỗ:</t>
  </si>
  <si>
    <t>8,0*3,5</t>
  </si>
  <si>
    <t>- Bê tông sân đá 1x2:</t>
  </si>
  <si>
    <t>8*3,5*0,1</t>
  </si>
  <si>
    <t>- Xây tường bằng gạch xi măng cát</t>
  </si>
  <si>
    <t>5,0*3,0*0,11</t>
  </si>
  <si>
    <t>Cây có ĐK 8 cm</t>
  </si>
  <si>
    <t>Hoa các loại</t>
  </si>
  <si>
    <t>Cây Tre</t>
  </si>
  <si>
    <t>Cây già</t>
  </si>
  <si>
    <t>Cây Tre gai</t>
  </si>
  <si>
    <t>- Hàng rào dây thép gai cột gỗ</t>
  </si>
  <si>
    <t>23,0*1,0</t>
  </si>
  <si>
    <t>- Hàng rào tre mai đan thưa</t>
  </si>
  <si>
    <t>23,0*1,1</t>
  </si>
  <si>
    <t>- Nhà cột sắt mái tôn chống nóng, chống ồn D76:</t>
  </si>
  <si>
    <t>6,1*8,8</t>
  </si>
  <si>
    <t>- Cửa sắt xếp dây kéo có bịt tôn:</t>
  </si>
  <si>
    <t>8,8*2,3</t>
  </si>
  <si>
    <t>- Làm tường bằng tôn múi:</t>
  </si>
  <si>
    <t>(8*1,4)+(3,2*2,5)+(5,3*3,3)+(3,2*1,1)+(3,2*1,3)+(5*2,8)</t>
  </si>
  <si>
    <t>- Lưới B40 khung thép hộp 5x2,5:</t>
  </si>
  <si>
    <t>(3,2*2,5)+(3,0*2,1)</t>
  </si>
  <si>
    <t>(3,2*2,65*0,11)+(3,2*0,9*0,11)+(3*1,8*0,11)</t>
  </si>
  <si>
    <t>3,0*8,0*0,1</t>
  </si>
  <si>
    <t>- Bán mái lợp tôn cột thép khung thép D76:</t>
  </si>
  <si>
    <t>(4,7*8)+(6,7*10,5)</t>
  </si>
  <si>
    <t>Cây Lát</t>
  </si>
  <si>
    <t>Cây có ĐK 25cm</t>
  </si>
  <si>
    <t>Cây có ĐK 6 cm</t>
  </si>
  <si>
    <t xml:space="preserve">Dứa trồng trên 9 tháng </t>
  </si>
  <si>
    <t xml:space="preserve">Hàng rào lải keo </t>
  </si>
  <si>
    <t>Rau các loại</t>
  </si>
  <si>
    <t>Cây Nhội</t>
  </si>
  <si>
    <t>Cây Sung</t>
  </si>
  <si>
    <t>- Hàng rào lưới thép B40 cột bê tông buộc dây thép</t>
  </si>
  <si>
    <t>18,5*1,2</t>
  </si>
  <si>
    <t>- Giếng khoan (chiều dài đất 28m)</t>
  </si>
  <si>
    <t>- Hàng rào lưới thép B40, khung thép hộp 2x4cm</t>
  </si>
  <si>
    <t>8*1,3</t>
  </si>
  <si>
    <t xml:space="preserve">cây </t>
  </si>
  <si>
    <t>Cây Nhãn ta</t>
  </si>
  <si>
    <t>Hà Vĩnh Thịnh</t>
  </si>
  <si>
    <t>Dương Văn Hiển</t>
  </si>
  <si>
    <t>Chênh lệch về đơn giá áp dụng bồi thường nhà ở</t>
  </si>
  <si>
    <t>1. Nhà nền đất khung cột gỗ nhóm II-III (gỗ nghiến), mái lợp ngói:</t>
  </si>
  <si>
    <t xml:space="preserve"> - Diện tích:</t>
  </si>
  <si>
    <t>6,0*7,2</t>
  </si>
  <si>
    <t>3. Nhà nền đất khung gỗ tạp (gỗ nhóm IV - V), mái lợp ngói:</t>
  </si>
  <si>
    <t>6,2*7,9</t>
  </si>
  <si>
    <t>1. Nhà nền đất khung cột gỗ nhóm II-III, mái lợp ngói:</t>
  </si>
  <si>
    <t>4,6*4,9</t>
  </si>
  <si>
    <t>2. Nhà nền đất khung cột gỗ nhóm IV - V, mái lợp ngói:</t>
  </si>
  <si>
    <t>5,15*6,15</t>
  </si>
  <si>
    <t>Dương Văn Hiến</t>
  </si>
  <si>
    <t>2. Nhà nền đất khung gỗ nhóm II-III, lợp mái ngói:</t>
  </si>
  <si>
    <t xml:space="preserve"> - Diện tích</t>
  </si>
  <si>
    <t>5,0*7,6</t>
  </si>
  <si>
    <t>Hỗ trợ về 
tài sản</t>
  </si>
  <si>
    <t>Ghi chú:
- Hỗ trợ ổn định đời sống áp dụng đối với những hộ gia đình bị thu hồi trên 10% diện tích đất nông nghiệp (Căn cứ theo khung chính sách tái định cư);
- Danh sách tổng hợp tỷ lệ đất nông nghiệp bị thu hồi của các hộ gia đình được UBND xã Thượng Giáo xác nhận (có bản tổng hợp gửi kèm phương án);
- Số nhân khẩu hỗ trợ được Tổ công tác thống kê điều tra và xin xác nhận của Chính quyển địa phương (có bản tổng hợp gửi kèm phương án);
- Đơn giá gạo lấy theo báo giá của Sở Tài chính tháng 11/2023.</t>
  </si>
  <si>
    <t>Nhà bán quán khung thép</t>
  </si>
  <si>
    <t>Lý do</t>
  </si>
  <si>
    <t xml:space="preserve">TỔNG BỒI THƯỜNG: </t>
  </si>
  <si>
    <t xml:space="preserve">TỔNG HỖ TRỢ: </t>
  </si>
  <si>
    <t>Nội dung</t>
  </si>
  <si>
    <r>
      <t xml:space="preserve">Giá trị trình thẩm định </t>
    </r>
    <r>
      <rPr>
        <sz val="12"/>
        <color rgb="FF000000"/>
        <rFont val="Times New Roman"/>
        <family val="1"/>
      </rPr>
      <t>(đồng)</t>
    </r>
  </si>
  <si>
    <r>
      <t xml:space="preserve">Kết quả thẩm định </t>
    </r>
    <r>
      <rPr>
        <sz val="12"/>
        <color rgb="FF000000"/>
        <rFont val="Times New Roman"/>
        <family val="1"/>
      </rPr>
      <t>(đồng)</t>
    </r>
  </si>
  <si>
    <t>Chênh lệch Tăng (+) Giảm (-)</t>
  </si>
  <si>
    <t>Chi phí bồi thường:</t>
  </si>
  <si>
    <t>-</t>
  </si>
  <si>
    <t>Đất đai</t>
  </si>
  <si>
    <t>Chi phí hỗ trợ:</t>
  </si>
  <si>
    <t>Hỗ trợ đào tạo, chuyển đổi nghề và tìm kiếm việc làm thu hồi đất nông nghiệp</t>
  </si>
  <si>
    <t xml:space="preserve">- </t>
  </si>
  <si>
    <t>Hỗ trợ ổn dịnh đời sống</t>
  </si>
  <si>
    <t xml:space="preserve"> tăng, giảm</t>
  </si>
  <si>
    <t>Chi tiết như biểu kèm theo</t>
  </si>
  <si>
    <t>Tài sản, Vật kiến trúc</t>
  </si>
  <si>
    <t>Cây cối, hoa màu</t>
  </si>
  <si>
    <t>Hỗ trợ đào tạo, chuyển đổi nghề và tìm kiếm việc làm đối với trường hợp thu hồi đất nông nghiệp</t>
  </si>
  <si>
    <t>Hỗ trợ ổn định đời sống và sản xuất</t>
  </si>
  <si>
    <t>Hỗ trợ các hộ gia đình dễ bị tổn thương về kinh tế</t>
  </si>
  <si>
    <t xml:space="preserve">Hỗ trợ chi phí tháo dỡ, di chuyển và lắp đặt tài sản </t>
  </si>
  <si>
    <t>TỔNG</t>
  </si>
  <si>
    <t>Hỗ trợ về tài sản</t>
  </si>
  <si>
    <t>BIỂU TỔNG HỢP GIÁ TRỊ PHƯƠNG ÁN BỒI THƯỜNG, HỖ TRỢ GPMB</t>
  </si>
  <si>
    <t>Phê duyệt bổ sung phần chênh lệch do áp dụng đơn giá mới theo Quyết định số 1632/QĐ-UBND ngày 11/9/2023</t>
  </si>
  <si>
    <t>PHƯƠNG ÁN BỒI THƯỜNG VỀ ĐẤT ĐAI</t>
  </si>
  <si>
    <t>PHƯƠNG ÁN BỒI THƯỜNG VỀ TÀI SẢN, VẬT KIẾN TRÚC</t>
  </si>
  <si>
    <t>PHƯƠNG ÁN BỒI THƯỜNG VỀ CÂY TRỒNG, VẬT NUÔI</t>
  </si>
  <si>
    <t>PHƯƠNG ÁN BỒI THƯỜNG CHI PHÍ THÁO DỠ, DI CHUYỂN VÀ LẮP ĐẶT TÀI SẢN</t>
  </si>
  <si>
    <t>PHƯƠNG ÁN HỖ TRỢ ỔN ĐỊNH ĐỜI SỐNG</t>
  </si>
  <si>
    <t>PHƯƠNG ÁN HỖ TRỢ CÁC HỘ GIA ĐÌNH DỄ BỊ TỔN THƯƠNG VỀ KINH TẾ - XÃ HỘI</t>
  </si>
  <si>
    <t>(Kèm theo Quyết định số …../QĐ-UBND ngày …. tháng 01 năm 2024 của UBND huyện Ba Bể)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</si>
</sst>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 _₫_-;\-* #,##0\ _₫_-;_-* &quot;-&quot;??\ _₫_-;_-@_-"/>
    <numFmt numFmtId="166" formatCode="_-* #,##0.0\ _₫_-;\-* #,##0.0\ _₫_-;_-* &quot;-&quot;??\ _₫_-;_-@_-"/>
    <numFmt numFmtId="167" formatCode="#,##0_ ;\-#,##0\ "/>
    <numFmt numFmtId="168" formatCode="_(* #,##0_);_(* \(#,##0\);_(* &quot;-&quot;??_);_(@_)"/>
  </numFmts>
  <fonts count="20" x14ac:knownFonts="1">
    <font>
      <sz val="11"/>
      <color theme="1"/>
      <name val="Calibri"/>
      <family val="2"/>
      <charset val="163"/>
      <scheme val="minor"/>
    </font>
    <font>
      <sz val="12"/>
      <color theme="1"/>
      <name val="Times New Roman"/>
      <family val="2"/>
      <charset val="163"/>
    </font>
    <font>
      <sz val="12"/>
      <color theme="1"/>
      <name val="Times New Roman"/>
      <family val="2"/>
      <charset val="163"/>
    </font>
    <font>
      <sz val="11"/>
      <color theme="1"/>
      <name val="Calibri"/>
      <family val="2"/>
      <charset val="163"/>
      <scheme val="minor"/>
    </font>
    <font>
      <b/>
      <sz val="12"/>
      <color theme="1"/>
      <name val="Times New Roman"/>
      <family val="1"/>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i/>
      <sz val="10"/>
      <color theme="1"/>
      <name val="Times New Roman"/>
      <family val="1"/>
    </font>
    <font>
      <sz val="10"/>
      <color theme="1"/>
      <name val="Cambria"/>
      <family val="1"/>
      <scheme val="major"/>
    </font>
    <font>
      <i/>
      <sz val="11"/>
      <color theme="1"/>
      <name val="Times New Roman"/>
      <family val="1"/>
    </font>
    <font>
      <sz val="12"/>
      <color theme="1"/>
      <name val="Times New Roman"/>
      <family val="1"/>
    </font>
    <font>
      <b/>
      <i/>
      <sz val="10"/>
      <color theme="1"/>
      <name val="Times New Roman"/>
      <family val="1"/>
    </font>
    <font>
      <b/>
      <sz val="12"/>
      <color rgb="FF000000"/>
      <name val="Times New Roman"/>
      <family val="1"/>
    </font>
    <font>
      <sz val="12"/>
      <color rgb="FF000000"/>
      <name val="Times New Roman"/>
      <family val="1"/>
    </font>
    <font>
      <i/>
      <sz val="12"/>
      <color theme="1"/>
      <name val="Times New Roman"/>
      <family val="1"/>
    </font>
    <font>
      <b/>
      <sz val="13"/>
      <color theme="1"/>
      <name val="Times New Roman"/>
      <family val="1"/>
    </font>
    <font>
      <sz val="12"/>
      <color theme="1"/>
      <name val="Cambria"/>
      <family val="1"/>
      <scheme val="major"/>
    </font>
    <font>
      <i/>
      <sz val="13"/>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164" fontId="3" fillId="0" borderId="0" applyFont="0" applyFill="0" applyBorder="0" applyAlignment="0" applyProtection="0"/>
    <xf numFmtId="0" fontId="3" fillId="0" borderId="0"/>
    <xf numFmtId="0" fontId="2" fillId="0" borderId="0"/>
    <xf numFmtId="164" fontId="3" fillId="0" borderId="0" applyFont="0" applyFill="0" applyBorder="0" applyAlignment="0" applyProtection="0"/>
    <xf numFmtId="0" fontId="1" fillId="0" borderId="0"/>
  </cellStyleXfs>
  <cellXfs count="210">
    <xf numFmtId="0" fontId="0" fillId="0" borderId="0" xfId="0"/>
    <xf numFmtId="164" fontId="8" fillId="0" borderId="1" xfId="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165" fontId="7" fillId="0" borderId="1" xfId="1" applyNumberFormat="1" applyFont="1" applyFill="1" applyBorder="1" applyAlignment="1">
      <alignment vertical="center"/>
    </xf>
    <xf numFmtId="0" fontId="7" fillId="0" borderId="0" xfId="0" applyFont="1" applyAlignment="1">
      <alignment vertical="center"/>
    </xf>
    <xf numFmtId="165" fontId="8" fillId="0" borderId="1" xfId="1" applyNumberFormat="1" applyFont="1" applyFill="1" applyBorder="1" applyAlignment="1">
      <alignment vertical="center"/>
    </xf>
    <xf numFmtId="165" fontId="7" fillId="0" borderId="0" xfId="1" applyNumberFormat="1" applyFont="1" applyFill="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Alignment="1">
      <alignment horizontal="center" vertical="center" wrapText="1"/>
    </xf>
    <xf numFmtId="167" fontId="7" fillId="0" borderId="1" xfId="1" applyNumberFormat="1" applyFont="1" applyFill="1" applyBorder="1" applyAlignment="1">
      <alignment horizontal="right" vertical="center"/>
    </xf>
    <xf numFmtId="168" fontId="7" fillId="0" borderId="1" xfId="1" applyNumberFormat="1" applyFont="1" applyFill="1" applyBorder="1" applyAlignment="1">
      <alignment horizontal="center" vertical="center"/>
    </xf>
    <xf numFmtId="165" fontId="7" fillId="0" borderId="1" xfId="1" applyNumberFormat="1" applyFont="1" applyFill="1" applyBorder="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1" xfId="0" applyFont="1" applyBorder="1"/>
    <xf numFmtId="166" fontId="5" fillId="0" borderId="1" xfId="1" applyNumberFormat="1" applyFont="1" applyFill="1" applyBorder="1"/>
    <xf numFmtId="165" fontId="5" fillId="0" borderId="1" xfId="1" applyNumberFormat="1" applyFont="1" applyFill="1" applyBorder="1"/>
    <xf numFmtId="0" fontId="5" fillId="0" borderId="0" xfId="0" applyFont="1"/>
    <xf numFmtId="166" fontId="6" fillId="0" borderId="1" xfId="1" applyNumberFormat="1" applyFont="1" applyFill="1" applyBorder="1" applyAlignment="1">
      <alignment horizontal="center" vertical="center" wrapText="1"/>
    </xf>
    <xf numFmtId="0" fontId="6" fillId="0" borderId="1" xfId="0" applyFont="1" applyBorder="1"/>
    <xf numFmtId="166" fontId="6" fillId="0" borderId="1" xfId="1" applyNumberFormat="1" applyFont="1" applyFill="1" applyBorder="1"/>
    <xf numFmtId="165" fontId="6" fillId="0" borderId="1" xfId="1" applyNumberFormat="1" applyFont="1" applyFill="1" applyBorder="1"/>
    <xf numFmtId="0" fontId="6" fillId="0" borderId="0" xfId="0" applyFont="1"/>
    <xf numFmtId="168" fontId="7" fillId="0" borderId="1" xfId="1" applyNumberFormat="1" applyFont="1" applyFill="1" applyBorder="1" applyAlignment="1">
      <alignment vertical="center"/>
    </xf>
    <xf numFmtId="0" fontId="7" fillId="0" borderId="0" xfId="0" applyFont="1" applyFill="1" applyAlignment="1">
      <alignment vertical="center"/>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0" xfId="0" applyFont="1" applyFill="1" applyAlignment="1">
      <alignment vertical="center"/>
    </xf>
    <xf numFmtId="0" fontId="8" fillId="0" borderId="0" xfId="0" applyFont="1" applyFill="1" applyAlignment="1">
      <alignment vertical="center" wrapText="1"/>
    </xf>
    <xf numFmtId="0" fontId="5" fillId="0" borderId="0" xfId="0" applyFont="1" applyFill="1" applyAlignment="1">
      <alignment vertical="center"/>
    </xf>
    <xf numFmtId="0" fontId="5" fillId="0" borderId="0" xfId="0" applyFont="1" applyFill="1"/>
    <xf numFmtId="0" fontId="5" fillId="0" borderId="0" xfId="0" applyFont="1" applyFill="1" applyAlignment="1">
      <alignment horizontal="center"/>
    </xf>
    <xf numFmtId="0" fontId="5" fillId="0" borderId="0" xfId="2" applyFont="1" applyFill="1" applyAlignment="1">
      <alignment horizontal="center" vertical="center"/>
    </xf>
    <xf numFmtId="0" fontId="8" fillId="0" borderId="0" xfId="0" applyFont="1" applyFill="1" applyAlignment="1">
      <alignment horizontal="center" vertical="center"/>
    </xf>
    <xf numFmtId="168" fontId="7" fillId="0" borderId="0" xfId="0" applyNumberFormat="1" applyFont="1" applyFill="1" applyAlignment="1">
      <alignment vertical="center"/>
    </xf>
    <xf numFmtId="166" fontId="4" fillId="0" borderId="1" xfId="1" applyNumberFormat="1" applyFont="1" applyFill="1" applyBorder="1" applyAlignment="1">
      <alignment horizontal="center" vertical="center" wrapText="1"/>
    </xf>
    <xf numFmtId="0" fontId="4" fillId="0" borderId="0" xfId="0" applyFont="1" applyFill="1"/>
    <xf numFmtId="0" fontId="12" fillId="0" borderId="0" xfId="0" applyFont="1" applyFill="1"/>
    <xf numFmtId="0" fontId="6" fillId="0" borderId="0" xfId="0" applyFont="1" applyFill="1"/>
    <xf numFmtId="165" fontId="7"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164" fontId="7" fillId="0" borderId="1" xfId="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5"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left" vertical="center"/>
    </xf>
    <xf numFmtId="0" fontId="10" fillId="0" borderId="0" xfId="0" applyFont="1" applyFill="1" applyAlignment="1">
      <alignment horizontal="left"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7" fillId="0" borderId="0" xfId="0" applyFont="1" applyFill="1" applyAlignment="1">
      <alignment horizontal="left" vertical="center" wrapText="1"/>
    </xf>
    <xf numFmtId="0" fontId="5" fillId="0" borderId="1" xfId="0" applyFont="1" applyFill="1" applyBorder="1" applyAlignment="1">
      <alignment horizontal="left" vertical="center" wrapText="1"/>
    </xf>
    <xf numFmtId="3" fontId="8" fillId="0" borderId="0" xfId="0" applyNumberFormat="1" applyFont="1" applyFill="1" applyAlignment="1">
      <alignment horizontal="center" vertical="center" wrapText="1"/>
    </xf>
    <xf numFmtId="1" fontId="6" fillId="0" borderId="1" xfId="0" applyNumberFormat="1" applyFont="1" applyBorder="1" applyAlignment="1">
      <alignment horizontal="center" vertical="center" wrapText="1"/>
    </xf>
    <xf numFmtId="1" fontId="5" fillId="0" borderId="0" xfId="0" applyNumberFormat="1" applyFont="1" applyAlignment="1">
      <alignment horizontal="center"/>
    </xf>
    <xf numFmtId="1" fontId="5" fillId="0" borderId="1" xfId="0" applyNumberFormat="1" applyFont="1" applyBorder="1" applyAlignment="1">
      <alignment horizontal="center"/>
    </xf>
    <xf numFmtId="0" fontId="9" fillId="0" borderId="4" xfId="0" applyFont="1" applyFill="1" applyBorder="1" applyAlignment="1">
      <alignment vertical="center" wrapText="1"/>
    </xf>
    <xf numFmtId="3" fontId="7" fillId="0" borderId="0" xfId="0" applyNumberFormat="1" applyFont="1" applyFill="1" applyAlignment="1">
      <alignment vertical="center"/>
    </xf>
    <xf numFmtId="3" fontId="4" fillId="0" borderId="1" xfId="0" applyNumberFormat="1" applyFont="1" applyFill="1" applyBorder="1" applyAlignment="1">
      <alignment horizontal="center" vertical="center" wrapText="1"/>
    </xf>
    <xf numFmtId="3" fontId="5" fillId="0" borderId="0" xfId="0" applyNumberFormat="1" applyFont="1" applyFill="1"/>
    <xf numFmtId="3" fontId="12" fillId="0" borderId="1" xfId="0" applyNumberFormat="1" applyFont="1" applyFill="1" applyBorder="1" applyAlignment="1">
      <alignment horizontal="center" vertical="center" wrapText="1"/>
    </xf>
    <xf numFmtId="0" fontId="11" fillId="0" borderId="4" xfId="0" applyFont="1" applyFill="1" applyBorder="1" applyAlignment="1">
      <alignment vertical="center"/>
    </xf>
    <xf numFmtId="0" fontId="11" fillId="0" borderId="4" xfId="0" applyFont="1" applyBorder="1" applyAlignment="1">
      <alignment vertical="center"/>
    </xf>
    <xf numFmtId="0" fontId="9" fillId="0" borderId="0" xfId="0" applyFont="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0" fillId="0" borderId="0" xfId="0" applyNumberFormat="1"/>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3" fontId="15" fillId="0" borderId="1" xfId="0" applyNumberFormat="1" applyFont="1" applyBorder="1" applyAlignment="1">
      <alignment horizontal="center" vertical="center" wrapText="1"/>
    </xf>
    <xf numFmtId="0" fontId="12" fillId="0" borderId="1" xfId="0" applyFont="1" applyBorder="1" applyAlignment="1">
      <alignment vertical="center" wrapText="1"/>
    </xf>
    <xf numFmtId="3" fontId="14" fillId="0" borderId="1" xfId="0" applyNumberFormat="1" applyFont="1" applyBorder="1" applyAlignment="1">
      <alignment horizontal="center" vertical="center" wrapText="1"/>
    </xf>
    <xf numFmtId="0" fontId="15" fillId="0" borderId="1" xfId="0" applyFont="1" applyBorder="1" applyAlignment="1">
      <alignment horizontal="right" vertical="center" wrapText="1"/>
    </xf>
    <xf numFmtId="0" fontId="4" fillId="0" borderId="1" xfId="0" applyFont="1" applyBorder="1" applyAlignment="1">
      <alignment horizontal="center" vertical="center" wrapText="1"/>
    </xf>
    <xf numFmtId="0" fontId="8" fillId="0" borderId="2" xfId="0" applyFont="1" applyFill="1" applyBorder="1" applyAlignment="1">
      <alignment vertical="center" wrapText="1"/>
    </xf>
    <xf numFmtId="0" fontId="6" fillId="0" borderId="2" xfId="0" applyFont="1" applyBorder="1" applyAlignment="1">
      <alignment vertical="center" wrapText="1"/>
    </xf>
    <xf numFmtId="0" fontId="12" fillId="0" borderId="0" xfId="0" applyFont="1" applyAlignment="1">
      <alignment vertical="center"/>
    </xf>
    <xf numFmtId="0" fontId="12" fillId="0" borderId="0" xfId="2" applyFont="1" applyAlignment="1">
      <alignment horizontal="center" vertical="center"/>
    </xf>
    <xf numFmtId="0" fontId="16" fillId="0" borderId="4" xfId="0" applyFont="1" applyBorder="1" applyAlignment="1">
      <alignment vertical="center"/>
    </xf>
    <xf numFmtId="0" fontId="16" fillId="0" borderId="0" xfId="0" applyFont="1" applyAlignment="1">
      <alignment vertical="center"/>
    </xf>
    <xf numFmtId="3" fontId="12" fillId="0" borderId="0" xfId="2" applyNumberFormat="1" applyFont="1" applyAlignment="1">
      <alignment horizontal="center" vertical="center"/>
    </xf>
    <xf numFmtId="3"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10" fontId="12" fillId="0" borderId="1" xfId="0" applyNumberFormat="1" applyFont="1" applyBorder="1" applyAlignment="1">
      <alignment vertical="center"/>
    </xf>
    <xf numFmtId="166" fontId="12" fillId="0" borderId="1" xfId="1" applyNumberFormat="1" applyFont="1" applyBorder="1" applyAlignment="1">
      <alignment vertical="center"/>
    </xf>
    <xf numFmtId="166" fontId="12" fillId="0" borderId="1" xfId="1" applyNumberFormat="1" applyFont="1" applyBorder="1" applyAlignment="1">
      <alignment horizontal="center" vertical="center"/>
    </xf>
    <xf numFmtId="165" fontId="12" fillId="0" borderId="1" xfId="1" applyNumberFormat="1" applyFont="1" applyBorder="1" applyAlignment="1">
      <alignment vertical="center"/>
    </xf>
    <xf numFmtId="3" fontId="12" fillId="0" borderId="1" xfId="0" applyNumberFormat="1"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3" fontId="12" fillId="0" borderId="0" xfId="0" applyNumberFormat="1" applyFont="1" applyAlignment="1">
      <alignment vertical="center"/>
    </xf>
    <xf numFmtId="0" fontId="4" fillId="0" borderId="2" xfId="0" applyFont="1" applyBorder="1" applyAlignment="1">
      <alignment horizontal="center" vertical="center" wrapText="1"/>
    </xf>
    <xf numFmtId="0" fontId="12" fillId="0" borderId="0" xfId="0" applyFont="1" applyFill="1" applyAlignment="1">
      <alignment vertical="center"/>
    </xf>
    <xf numFmtId="0" fontId="12" fillId="0" borderId="0" xfId="2" applyFont="1" applyFill="1" applyAlignment="1">
      <alignment horizontal="center" vertical="center"/>
    </xf>
    <xf numFmtId="0" fontId="16"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167" fontId="12" fillId="0" borderId="1" xfId="1" applyNumberFormat="1" applyFont="1" applyFill="1" applyBorder="1" applyAlignment="1">
      <alignment horizontal="right" vertical="center"/>
    </xf>
    <xf numFmtId="165" fontId="12" fillId="0" borderId="1" xfId="1" applyNumberFormat="1" applyFont="1" applyFill="1" applyBorder="1" applyAlignment="1">
      <alignment horizontal="right" vertical="center"/>
    </xf>
    <xf numFmtId="168" fontId="12" fillId="0" borderId="1" xfId="1" applyNumberFormat="1" applyFont="1" applyFill="1" applyBorder="1" applyAlignment="1">
      <alignment vertical="center"/>
    </xf>
    <xf numFmtId="165" fontId="12" fillId="0" borderId="1" xfId="1" applyNumberFormat="1" applyFont="1" applyFill="1" applyBorder="1" applyAlignment="1">
      <alignment vertical="center"/>
    </xf>
    <xf numFmtId="0" fontId="12" fillId="0" borderId="0" xfId="0" applyFont="1" applyFill="1" applyAlignment="1">
      <alignment horizontal="center" vertical="center"/>
    </xf>
    <xf numFmtId="0" fontId="12" fillId="0" borderId="0" xfId="2" applyFont="1"/>
    <xf numFmtId="0" fontId="4" fillId="0" borderId="0" xfId="2" applyFont="1"/>
    <xf numFmtId="0" fontId="4" fillId="0" borderId="1" xfId="5" applyFont="1" applyBorder="1" applyAlignment="1">
      <alignment horizontal="center" vertical="center" wrapText="1"/>
    </xf>
    <xf numFmtId="0" fontId="12" fillId="0" borderId="1" xfId="2" applyFont="1" applyBorder="1"/>
    <xf numFmtId="0" fontId="12" fillId="0" borderId="1" xfId="2" applyFont="1" applyBorder="1" applyAlignment="1">
      <alignment horizontal="center"/>
    </xf>
    <xf numFmtId="165" fontId="12" fillId="0" borderId="1" xfId="1" applyNumberFormat="1" applyFont="1" applyFill="1" applyBorder="1"/>
    <xf numFmtId="0" fontId="12" fillId="0" borderId="0" xfId="2" applyFont="1" applyAlignment="1">
      <alignment horizont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8"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xf>
    <xf numFmtId="0" fontId="4" fillId="0" borderId="1" xfId="0" applyFont="1" applyFill="1" applyBorder="1"/>
    <xf numFmtId="0" fontId="12" fillId="0" borderId="1" xfId="0" applyFont="1" applyFill="1" applyBorder="1" applyAlignment="1">
      <alignment horizontal="center"/>
    </xf>
    <xf numFmtId="164" fontId="4" fillId="0" borderId="1" xfId="1" applyFont="1" applyFill="1" applyBorder="1"/>
    <xf numFmtId="165" fontId="4" fillId="0" borderId="1" xfId="1" applyNumberFormat="1" applyFont="1" applyFill="1" applyBorder="1"/>
    <xf numFmtId="0" fontId="12" fillId="0" borderId="1" xfId="0" applyFont="1" applyFill="1" applyBorder="1"/>
    <xf numFmtId="164" fontId="12" fillId="0" borderId="1" xfId="1" applyFont="1" applyFill="1" applyBorder="1"/>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center" vertical="center"/>
    </xf>
    <xf numFmtId="164" fontId="4" fillId="0" borderId="1" xfId="1" applyFont="1" applyBorder="1"/>
    <xf numFmtId="165" fontId="4" fillId="0" borderId="1" xfId="1" applyNumberFormat="1" applyFont="1" applyBorder="1"/>
    <xf numFmtId="0" fontId="4" fillId="0" borderId="0" xfId="0" applyFont="1"/>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center" wrapText="1"/>
    </xf>
    <xf numFmtId="164" fontId="12" fillId="0" borderId="1" xfId="1" applyFont="1" applyBorder="1"/>
    <xf numFmtId="165" fontId="12" fillId="0" borderId="1" xfId="1" applyNumberFormat="1" applyFont="1" applyBorder="1"/>
    <xf numFmtId="0" fontId="12" fillId="0" borderId="0" xfId="0" applyFont="1"/>
    <xf numFmtId="166" fontId="4" fillId="0" borderId="1" xfId="1" applyNumberFormat="1" applyFont="1" applyFill="1" applyBorder="1"/>
    <xf numFmtId="166" fontId="12" fillId="0" borderId="1" xfId="1" applyNumberFormat="1" applyFont="1" applyFill="1" applyBorder="1"/>
    <xf numFmtId="0" fontId="12" fillId="0" borderId="0" xfId="0" applyFont="1" applyFill="1" applyAlignment="1">
      <alignment horizontal="center"/>
    </xf>
    <xf numFmtId="0" fontId="12"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3"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65" fontId="7" fillId="0" borderId="3" xfId="1"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9" fillId="0" borderId="4" xfId="0" applyFont="1" applyFill="1" applyBorder="1" applyAlignment="1">
      <alignment horizontal="center" vertical="center" wrapText="1"/>
    </xf>
    <xf numFmtId="0" fontId="19" fillId="0" borderId="0" xfId="0" applyFont="1" applyFill="1" applyAlignment="1">
      <alignment horizontal="center" vertical="center" wrapText="1"/>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1" xfId="0" applyFont="1" applyFill="1" applyBorder="1" applyAlignment="1">
      <alignment horizontal="right" vertical="center"/>
    </xf>
    <xf numFmtId="0" fontId="16" fillId="0" borderId="0" xfId="0" applyFont="1" applyFill="1" applyAlignment="1">
      <alignment horizontal="center" vertical="center"/>
    </xf>
    <xf numFmtId="0" fontId="11" fillId="0" borderId="0" xfId="0" applyFont="1" applyFill="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2" applyFont="1" applyAlignment="1">
      <alignment horizontal="center" vertical="center"/>
    </xf>
    <xf numFmtId="0" fontId="4" fillId="0" borderId="1" xfId="2" applyFont="1" applyBorder="1" applyAlignment="1">
      <alignment horizontal="center"/>
    </xf>
    <xf numFmtId="165" fontId="4" fillId="0" borderId="1" xfId="1" applyNumberFormat="1" applyFont="1" applyFill="1" applyBorder="1" applyAlignment="1">
      <alignment horizontal="center" vertical="center" wrapText="1"/>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cellXfs>
  <cellStyles count="6">
    <cellStyle name="Bình thường" xfId="0" builtinId="0"/>
    <cellStyle name="Comma 2" xfId="4"/>
    <cellStyle name="Dấu phẩy" xfId="1" builtinId="3"/>
    <cellStyle name="Normal 2" xfId="2"/>
    <cellStyle name="Normal 3" xfId="3"/>
    <cellStyle name="Normal 3 2"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4"/>
  <sheetViews>
    <sheetView zoomScale="115" zoomScaleNormal="115" zoomScaleSheetLayoutView="175" workbookViewId="0">
      <selection activeCell="G11" sqref="G11"/>
    </sheetView>
  </sheetViews>
  <sheetFormatPr defaultColWidth="8.85546875" defaultRowHeight="15.75" x14ac:dyDescent="0.25"/>
  <cols>
    <col min="1" max="1" width="4.28515625" style="98" customWidth="1"/>
    <col min="2" max="2" width="16" style="127" customWidth="1"/>
    <col min="3" max="3" width="12.28515625" style="133" customWidth="1"/>
    <col min="4" max="4" width="8.140625" style="127" customWidth="1"/>
    <col min="5" max="6" width="8.85546875" style="127"/>
    <col min="7" max="7" width="10.42578125" style="127" customWidth="1"/>
    <col min="8" max="8" width="8.85546875" style="127"/>
    <col min="9" max="9" width="11.5703125" style="127" customWidth="1"/>
    <col min="10" max="10" width="12.42578125" style="127" customWidth="1"/>
    <col min="11" max="11" width="15" style="127" customWidth="1"/>
    <col min="12" max="12" width="12.140625" style="127" customWidth="1"/>
    <col min="13" max="16384" width="8.85546875" style="127"/>
  </cols>
  <sheetData>
    <row r="1" spans="1:12" ht="24" customHeight="1" x14ac:dyDescent="0.25">
      <c r="A1" s="200" t="s">
        <v>370</v>
      </c>
      <c r="B1" s="200"/>
      <c r="C1" s="200"/>
      <c r="D1" s="200"/>
      <c r="E1" s="200"/>
      <c r="F1" s="200"/>
      <c r="G1" s="200"/>
      <c r="H1" s="200"/>
      <c r="I1" s="200"/>
      <c r="J1" s="200"/>
      <c r="K1" s="200"/>
      <c r="L1" s="200"/>
    </row>
    <row r="2" spans="1:12" s="98" customFormat="1" ht="20.100000000000001" customHeight="1" x14ac:dyDescent="0.25">
      <c r="A2" s="194" t="s">
        <v>98</v>
      </c>
      <c r="B2" s="194"/>
      <c r="C2" s="194"/>
      <c r="D2" s="194"/>
      <c r="E2" s="194"/>
      <c r="F2" s="194"/>
      <c r="G2" s="194"/>
      <c r="H2" s="194"/>
      <c r="I2" s="194"/>
      <c r="J2" s="194"/>
      <c r="K2" s="194"/>
      <c r="L2" s="194"/>
    </row>
    <row r="3" spans="1:12" s="98" customFormat="1" ht="20.100000000000001" customHeight="1" x14ac:dyDescent="0.25">
      <c r="A3" s="194" t="s">
        <v>101</v>
      </c>
      <c r="B3" s="194"/>
      <c r="C3" s="194"/>
      <c r="D3" s="194"/>
      <c r="E3" s="194"/>
      <c r="F3" s="194"/>
      <c r="G3" s="194"/>
      <c r="H3" s="194"/>
      <c r="I3" s="194"/>
      <c r="J3" s="194"/>
      <c r="K3" s="194"/>
      <c r="L3" s="194"/>
    </row>
    <row r="4" spans="1:12" s="98" customFormat="1" ht="20.100000000000001" customHeight="1" x14ac:dyDescent="0.25">
      <c r="A4" s="193" t="str">
        <f>'Tong Hop'!A4:L4</f>
        <v>(Kèm theo Quyết định số …../QĐ-UBND ngày …. tháng 01 năm 2024 của UBND huyện Ba Bể)</v>
      </c>
      <c r="B4" s="193"/>
      <c r="C4" s="193"/>
      <c r="D4" s="193"/>
      <c r="E4" s="193"/>
      <c r="F4" s="193"/>
      <c r="G4" s="193"/>
      <c r="H4" s="193"/>
      <c r="I4" s="193"/>
      <c r="J4" s="193"/>
      <c r="K4" s="193"/>
      <c r="L4" s="193"/>
    </row>
    <row r="5" spans="1:12" s="98" customFormat="1" ht="20.100000000000001" customHeight="1" x14ac:dyDescent="0.25">
      <c r="B5" s="99"/>
      <c r="C5" s="99"/>
      <c r="K5" s="99" t="s">
        <v>99</v>
      </c>
    </row>
    <row r="6" spans="1:12" s="128" customFormat="1" ht="15.75" customHeight="1" x14ac:dyDescent="0.25">
      <c r="A6" s="203" t="s">
        <v>0</v>
      </c>
      <c r="B6" s="203" t="s">
        <v>1</v>
      </c>
      <c r="C6" s="203" t="s">
        <v>19</v>
      </c>
      <c r="D6" s="201" t="s">
        <v>69</v>
      </c>
      <c r="E6" s="201"/>
      <c r="F6" s="201"/>
      <c r="G6" s="201"/>
      <c r="H6" s="201"/>
      <c r="I6" s="201"/>
      <c r="J6" s="201"/>
      <c r="K6" s="202" t="s">
        <v>70</v>
      </c>
      <c r="L6" s="205" t="s">
        <v>7</v>
      </c>
    </row>
    <row r="7" spans="1:12" s="128" customFormat="1" ht="63" x14ac:dyDescent="0.25">
      <c r="A7" s="204"/>
      <c r="B7" s="204"/>
      <c r="C7" s="204"/>
      <c r="D7" s="129" t="s">
        <v>71</v>
      </c>
      <c r="E7" s="129" t="s">
        <v>72</v>
      </c>
      <c r="F7" s="129" t="s">
        <v>73</v>
      </c>
      <c r="G7" s="129" t="s">
        <v>74</v>
      </c>
      <c r="H7" s="129" t="s">
        <v>75</v>
      </c>
      <c r="I7" s="129" t="s">
        <v>76</v>
      </c>
      <c r="J7" s="129" t="s">
        <v>77</v>
      </c>
      <c r="K7" s="202"/>
      <c r="L7" s="206"/>
    </row>
    <row r="8" spans="1:12" x14ac:dyDescent="0.25">
      <c r="A8" s="104">
        <f>IF(B8="","",SUBTOTAL(3,$B$8:B8))</f>
        <v>1</v>
      </c>
      <c r="B8" s="130" t="s">
        <v>40</v>
      </c>
      <c r="C8" s="131" t="s">
        <v>8</v>
      </c>
      <c r="D8" s="131"/>
      <c r="E8" s="131"/>
      <c r="F8" s="131"/>
      <c r="G8" s="131"/>
      <c r="H8" s="131"/>
      <c r="I8" s="131"/>
      <c r="J8" s="131" t="s">
        <v>78</v>
      </c>
      <c r="K8" s="132">
        <v>2000000</v>
      </c>
      <c r="L8" s="130"/>
    </row>
    <row r="9" spans="1:12" x14ac:dyDescent="0.25">
      <c r="A9" s="104">
        <f>IF(B9="","",SUBTOTAL(3,$B$8:B9))</f>
        <v>2</v>
      </c>
      <c r="B9" s="130" t="s">
        <v>165</v>
      </c>
      <c r="C9" s="131" t="s">
        <v>8</v>
      </c>
      <c r="D9" s="131"/>
      <c r="E9" s="131"/>
      <c r="F9" s="131"/>
      <c r="G9" s="131"/>
      <c r="H9" s="131"/>
      <c r="I9" s="131" t="s">
        <v>78</v>
      </c>
      <c r="J9" s="131"/>
      <c r="K9" s="132">
        <v>2000000</v>
      </c>
      <c r="L9" s="130"/>
    </row>
    <row r="354" spans="2:2" s="98" customFormat="1" ht="15" customHeight="1" x14ac:dyDescent="0.25">
      <c r="B354" s="127"/>
    </row>
  </sheetData>
  <mergeCells count="10">
    <mergeCell ref="A1:L1"/>
    <mergeCell ref="A2:L2"/>
    <mergeCell ref="A3:L3"/>
    <mergeCell ref="D6:J6"/>
    <mergeCell ref="K6:K7"/>
    <mergeCell ref="B6:B7"/>
    <mergeCell ref="C6:C7"/>
    <mergeCell ref="A6:A7"/>
    <mergeCell ref="L6:L7"/>
    <mergeCell ref="A4:L4"/>
  </mergeCells>
  <pageMargins left="0.48" right="0" top="0.74803149606299202" bottom="0" header="0.31496062992126" footer="0.31496062992126"/>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8" sqref="D28"/>
    </sheetView>
  </sheetViews>
  <sheetFormatPr defaultRowHeight="15" x14ac:dyDescent="0.25"/>
  <cols>
    <col min="2" max="2" width="36.5703125" customWidth="1"/>
    <col min="3" max="4" width="14" customWidth="1"/>
    <col min="5" max="5" width="14" style="85" customWidth="1"/>
  </cols>
  <sheetData>
    <row r="1" spans="1:5" ht="47.25" x14ac:dyDescent="0.25">
      <c r="A1" s="86" t="s">
        <v>88</v>
      </c>
      <c r="B1" s="86" t="s">
        <v>342</v>
      </c>
      <c r="C1" s="86" t="s">
        <v>343</v>
      </c>
      <c r="D1" s="86" t="s">
        <v>344</v>
      </c>
      <c r="E1" s="92" t="s">
        <v>345</v>
      </c>
    </row>
    <row r="2" spans="1:5" ht="15.75" x14ac:dyDescent="0.25">
      <c r="A2" s="86">
        <v>1</v>
      </c>
      <c r="B2" s="87" t="s">
        <v>346</v>
      </c>
      <c r="C2" s="88"/>
      <c r="D2" s="88"/>
      <c r="E2" s="90"/>
    </row>
    <row r="3" spans="1:5" ht="15.75" x14ac:dyDescent="0.25">
      <c r="A3" s="88" t="s">
        <v>347</v>
      </c>
      <c r="B3" s="89" t="s">
        <v>348</v>
      </c>
      <c r="C3" s="90" t="e">
        <f>'Tong Hop'!#REF!</f>
        <v>#REF!</v>
      </c>
      <c r="D3" s="90">
        <f>'Tong Hop'!D19</f>
        <v>348993900</v>
      </c>
      <c r="E3" s="90" t="e">
        <f>SUM(D3-C3)</f>
        <v>#REF!</v>
      </c>
    </row>
    <row r="4" spans="1:5" ht="15.75" x14ac:dyDescent="0.25">
      <c r="A4" s="86">
        <v>2</v>
      </c>
      <c r="B4" s="87" t="s">
        <v>349</v>
      </c>
      <c r="C4" s="88"/>
      <c r="D4" s="88"/>
      <c r="E4" s="90"/>
    </row>
    <row r="5" spans="1:5" ht="36.75" customHeight="1" x14ac:dyDescent="0.25">
      <c r="A5" s="88" t="s">
        <v>347</v>
      </c>
      <c r="B5" s="91" t="s">
        <v>350</v>
      </c>
      <c r="C5" s="90" t="e">
        <f>'Tong Hop'!#REF!</f>
        <v>#REF!</v>
      </c>
      <c r="D5" s="90">
        <f>'Tong Hop'!G19</f>
        <v>55302000.000000007</v>
      </c>
      <c r="E5" s="90" t="e">
        <f t="shared" ref="E5:E6" si="0">SUM(D5-C5)</f>
        <v>#REF!</v>
      </c>
    </row>
    <row r="6" spans="1:5" ht="19.5" customHeight="1" x14ac:dyDescent="0.25">
      <c r="A6" s="88" t="s">
        <v>351</v>
      </c>
      <c r="B6" s="91" t="s">
        <v>352</v>
      </c>
      <c r="C6" s="90" t="e">
        <f>'Tong Hop'!#REF!</f>
        <v>#REF!</v>
      </c>
      <c r="D6" s="90">
        <f>'Tong Hop'!H19</f>
        <v>2610000</v>
      </c>
      <c r="E6" s="90" t="e">
        <f t="shared" si="0"/>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K10" sqref="K10"/>
    </sheetView>
  </sheetViews>
  <sheetFormatPr defaultRowHeight="15" x14ac:dyDescent="0.25"/>
  <cols>
    <col min="1" max="1" width="6.7109375" customWidth="1"/>
    <col min="2" max="2" width="45.42578125" customWidth="1"/>
    <col min="3" max="5" width="15.28515625" customWidth="1"/>
  </cols>
  <sheetData>
    <row r="1" spans="1:6" ht="46.5" customHeight="1" x14ac:dyDescent="0.25">
      <c r="A1" s="209" t="s">
        <v>88</v>
      </c>
      <c r="B1" s="209" t="s">
        <v>342</v>
      </c>
      <c r="C1" s="209" t="s">
        <v>343</v>
      </c>
      <c r="D1" s="209" t="s">
        <v>344</v>
      </c>
      <c r="E1" s="209" t="s">
        <v>345</v>
      </c>
      <c r="F1" s="86" t="s">
        <v>339</v>
      </c>
    </row>
    <row r="2" spans="1:6" ht="31.5" x14ac:dyDescent="0.25">
      <c r="A2" s="209"/>
      <c r="B2" s="209"/>
      <c r="C2" s="209"/>
      <c r="D2" s="209"/>
      <c r="E2" s="209"/>
      <c r="F2" s="86" t="s">
        <v>353</v>
      </c>
    </row>
    <row r="3" spans="1:6" ht="26.25" customHeight="1" x14ac:dyDescent="0.25">
      <c r="A3" s="86">
        <v>1</v>
      </c>
      <c r="B3" s="87" t="s">
        <v>346</v>
      </c>
      <c r="C3" s="86"/>
      <c r="D3" s="86"/>
      <c r="E3" s="86"/>
      <c r="F3" s="207" t="s">
        <v>354</v>
      </c>
    </row>
    <row r="4" spans="1:6" ht="30" customHeight="1" x14ac:dyDescent="0.25">
      <c r="A4" s="88" t="s">
        <v>347</v>
      </c>
      <c r="B4" s="89" t="s">
        <v>348</v>
      </c>
      <c r="C4" s="90" t="e">
        <f>'Tong Hop'!#REF!</f>
        <v>#REF!</v>
      </c>
      <c r="D4" s="90">
        <f>'Tong Hop'!D19</f>
        <v>348993900</v>
      </c>
      <c r="E4" s="90" t="e">
        <f>D4-C4</f>
        <v>#REF!</v>
      </c>
      <c r="F4" s="207"/>
    </row>
    <row r="5" spans="1:6" ht="30" customHeight="1" x14ac:dyDescent="0.25">
      <c r="A5" s="88" t="s">
        <v>347</v>
      </c>
      <c r="B5" s="89" t="s">
        <v>355</v>
      </c>
      <c r="C5" s="90" t="e">
        <f>'Tong Hop'!#REF!</f>
        <v>#REF!</v>
      </c>
      <c r="D5" s="90">
        <f>'Tong Hop'!E19</f>
        <v>291531847.43602002</v>
      </c>
      <c r="E5" s="90" t="e">
        <f t="shared" ref="E5:E12" si="0">D5-C5</f>
        <v>#REF!</v>
      </c>
      <c r="F5" s="207"/>
    </row>
    <row r="6" spans="1:6" ht="30" customHeight="1" x14ac:dyDescent="0.25">
      <c r="A6" s="88" t="s">
        <v>347</v>
      </c>
      <c r="B6" s="89" t="s">
        <v>356</v>
      </c>
      <c r="C6" s="90" t="e">
        <f>'Tong Hop'!#REF!</f>
        <v>#REF!</v>
      </c>
      <c r="D6" s="90">
        <f>'Tong Hop'!F19</f>
        <v>13294000</v>
      </c>
      <c r="E6" s="90" t="e">
        <f t="shared" si="0"/>
        <v>#REF!</v>
      </c>
      <c r="F6" s="207"/>
    </row>
    <row r="7" spans="1:6" ht="30" customHeight="1" x14ac:dyDescent="0.25">
      <c r="A7" s="86">
        <v>2</v>
      </c>
      <c r="B7" s="87" t="s">
        <v>349</v>
      </c>
      <c r="C7" s="88"/>
      <c r="D7" s="93"/>
      <c r="E7" s="90"/>
      <c r="F7" s="207"/>
    </row>
    <row r="8" spans="1:6" ht="30" customHeight="1" x14ac:dyDescent="0.25">
      <c r="A8" s="88" t="s">
        <v>347</v>
      </c>
      <c r="B8" s="91" t="s">
        <v>357</v>
      </c>
      <c r="C8" s="90" t="e">
        <f>'Tong Hop'!#REF!</f>
        <v>#REF!</v>
      </c>
      <c r="D8" s="90">
        <f>'Tong Hop'!G19</f>
        <v>55302000.000000007</v>
      </c>
      <c r="E8" s="90" t="e">
        <f t="shared" si="0"/>
        <v>#REF!</v>
      </c>
      <c r="F8" s="207"/>
    </row>
    <row r="9" spans="1:6" ht="30" customHeight="1" x14ac:dyDescent="0.25">
      <c r="A9" s="88" t="s">
        <v>351</v>
      </c>
      <c r="B9" s="91" t="s">
        <v>358</v>
      </c>
      <c r="C9" s="90" t="e">
        <f>'Tong Hop'!#REF!</f>
        <v>#REF!</v>
      </c>
      <c r="D9" s="90">
        <f>'Tong Hop'!H19</f>
        <v>2610000</v>
      </c>
      <c r="E9" s="90" t="e">
        <f t="shared" si="0"/>
        <v>#REF!</v>
      </c>
      <c r="F9" s="207"/>
    </row>
    <row r="10" spans="1:6" ht="30" customHeight="1" x14ac:dyDescent="0.25">
      <c r="A10" s="88" t="s">
        <v>347</v>
      </c>
      <c r="B10" s="91" t="s">
        <v>359</v>
      </c>
      <c r="C10" s="90" t="e">
        <f>'Tong Hop'!#REF!</f>
        <v>#REF!</v>
      </c>
      <c r="D10" s="90">
        <f>'Tong Hop'!J19</f>
        <v>4000000</v>
      </c>
      <c r="E10" s="90" t="e">
        <f t="shared" si="0"/>
        <v>#REF!</v>
      </c>
      <c r="F10" s="207"/>
    </row>
    <row r="11" spans="1:6" ht="30" customHeight="1" x14ac:dyDescent="0.25">
      <c r="A11" s="88" t="s">
        <v>347</v>
      </c>
      <c r="B11" s="91" t="s">
        <v>360</v>
      </c>
      <c r="C11" s="90" t="e">
        <f>'Tong Hop'!#REF!</f>
        <v>#REF!</v>
      </c>
      <c r="D11" s="90">
        <f>'Tong Hop'!I19</f>
        <v>21000000</v>
      </c>
      <c r="E11" s="90" t="e">
        <f t="shared" si="0"/>
        <v>#REF!</v>
      </c>
      <c r="F11" s="207"/>
    </row>
    <row r="12" spans="1:6" ht="30" customHeight="1" x14ac:dyDescent="0.25">
      <c r="A12" s="88" t="s">
        <v>347</v>
      </c>
      <c r="B12" s="91" t="s">
        <v>362</v>
      </c>
      <c r="C12" s="90" t="e">
        <f>'Tong Hop'!#REF!</f>
        <v>#REF!</v>
      </c>
      <c r="D12" s="90">
        <f>'Tong Hop'!K19</f>
        <v>181538714.73630002</v>
      </c>
      <c r="E12" s="90" t="e">
        <f t="shared" si="0"/>
        <v>#REF!</v>
      </c>
      <c r="F12" s="207"/>
    </row>
    <row r="13" spans="1:6" ht="30" customHeight="1" x14ac:dyDescent="0.25">
      <c r="A13" s="208" t="s">
        <v>361</v>
      </c>
      <c r="B13" s="208"/>
      <c r="C13" s="92" t="e">
        <f>SUM(C4:C12)</f>
        <v>#REF!</v>
      </c>
      <c r="D13" s="92">
        <f t="shared" ref="D13:E13" si="1">SUM(D4:D12)</f>
        <v>918270462.17232001</v>
      </c>
      <c r="E13" s="92" t="e">
        <f t="shared" si="1"/>
        <v>#REF!</v>
      </c>
      <c r="F13" s="207"/>
    </row>
  </sheetData>
  <mergeCells count="7">
    <mergeCell ref="F3:F13"/>
    <mergeCell ref="A13:B13"/>
    <mergeCell ref="A1:A2"/>
    <mergeCell ref="B1:B2"/>
    <mergeCell ref="C1:C2"/>
    <mergeCell ref="D1:D2"/>
    <mergeCell ref="E1: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91"/>
  <sheetViews>
    <sheetView tabSelected="1" topLeftCell="A16" zoomScaleNormal="100" zoomScaleSheetLayoutView="100" workbookViewId="0">
      <selection activeCell="J23" sqref="J23"/>
    </sheetView>
  </sheetViews>
  <sheetFormatPr defaultColWidth="8.85546875" defaultRowHeight="12.75" x14ac:dyDescent="0.25"/>
  <cols>
    <col min="1" max="1" width="3.5703125" style="35" customWidth="1"/>
    <col min="2" max="2" width="15.140625" style="68" customWidth="1"/>
    <col min="3" max="3" width="5.5703125" style="35" customWidth="1"/>
    <col min="4" max="4" width="11.42578125" style="35" customWidth="1"/>
    <col min="5" max="5" width="11" style="35" customWidth="1"/>
    <col min="6" max="6" width="9.5703125" style="35" customWidth="1"/>
    <col min="7" max="7" width="11" style="35" customWidth="1"/>
    <col min="8" max="8" width="10.5703125" style="35" customWidth="1"/>
    <col min="9" max="9" width="11.140625" style="35" customWidth="1"/>
    <col min="10" max="10" width="9.42578125" style="35" customWidth="1"/>
    <col min="11" max="11" width="11.7109375" style="35" customWidth="1"/>
    <col min="12" max="12" width="11.28515625" style="35" customWidth="1"/>
    <col min="13" max="13" width="14.7109375" style="35" customWidth="1"/>
    <col min="14" max="16384" width="8.85546875" style="35"/>
  </cols>
  <sheetData>
    <row r="1" spans="1:13" ht="22.5" customHeight="1" x14ac:dyDescent="0.25">
      <c r="A1" s="179" t="s">
        <v>363</v>
      </c>
      <c r="B1" s="179"/>
      <c r="C1" s="179"/>
      <c r="D1" s="179"/>
      <c r="E1" s="179"/>
      <c r="F1" s="179"/>
      <c r="G1" s="179"/>
      <c r="H1" s="179"/>
      <c r="I1" s="179"/>
      <c r="J1" s="179"/>
      <c r="K1" s="179"/>
      <c r="L1" s="179"/>
    </row>
    <row r="2" spans="1:13" ht="20.100000000000001" customHeight="1" x14ac:dyDescent="0.25">
      <c r="A2" s="179" t="s">
        <v>98</v>
      </c>
      <c r="B2" s="179"/>
      <c r="C2" s="179"/>
      <c r="D2" s="179"/>
      <c r="E2" s="179"/>
      <c r="F2" s="179"/>
      <c r="G2" s="179"/>
      <c r="H2" s="179"/>
      <c r="I2" s="179"/>
      <c r="J2" s="179"/>
      <c r="K2" s="179"/>
      <c r="L2" s="179"/>
    </row>
    <row r="3" spans="1:13" ht="20.100000000000001" customHeight="1" x14ac:dyDescent="0.25">
      <c r="A3" s="179" t="s">
        <v>101</v>
      </c>
      <c r="B3" s="179"/>
      <c r="C3" s="179"/>
      <c r="D3" s="179"/>
      <c r="E3" s="179"/>
      <c r="F3" s="179"/>
      <c r="G3" s="179"/>
      <c r="H3" s="179"/>
      <c r="I3" s="179"/>
      <c r="J3" s="179"/>
      <c r="K3" s="179"/>
      <c r="L3" s="179"/>
    </row>
    <row r="4" spans="1:13" ht="20.100000000000001" customHeight="1" x14ac:dyDescent="0.25">
      <c r="A4" s="181" t="s">
        <v>371</v>
      </c>
      <c r="B4" s="181"/>
      <c r="C4" s="181"/>
      <c r="D4" s="181"/>
      <c r="E4" s="181"/>
      <c r="F4" s="181"/>
      <c r="G4" s="181"/>
      <c r="H4" s="181"/>
      <c r="I4" s="181"/>
      <c r="J4" s="181"/>
      <c r="K4" s="181"/>
      <c r="L4" s="181"/>
    </row>
    <row r="5" spans="1:13" ht="22.5" customHeight="1" x14ac:dyDescent="0.25">
      <c r="B5" s="74"/>
      <c r="C5" s="74"/>
      <c r="K5" s="180" t="s">
        <v>99</v>
      </c>
      <c r="L5" s="180"/>
    </row>
    <row r="6" spans="1:13" s="29" customFormat="1" ht="78" customHeight="1" x14ac:dyDescent="0.25">
      <c r="A6" s="134" t="s">
        <v>0</v>
      </c>
      <c r="B6" s="134" t="s">
        <v>1</v>
      </c>
      <c r="C6" s="134" t="s">
        <v>112</v>
      </c>
      <c r="D6" s="2" t="s">
        <v>111</v>
      </c>
      <c r="E6" s="2" t="s">
        <v>82</v>
      </c>
      <c r="F6" s="2" t="s">
        <v>83</v>
      </c>
      <c r="G6" s="2" t="s">
        <v>161</v>
      </c>
      <c r="H6" s="134" t="s">
        <v>160</v>
      </c>
      <c r="I6" s="134" t="s">
        <v>218</v>
      </c>
      <c r="J6" s="2" t="s">
        <v>85</v>
      </c>
      <c r="K6" s="2" t="s">
        <v>336</v>
      </c>
      <c r="L6" s="134" t="s">
        <v>87</v>
      </c>
      <c r="M6" s="134" t="s">
        <v>7</v>
      </c>
    </row>
    <row r="7" spans="1:13" ht="25.5" customHeight="1" x14ac:dyDescent="0.25">
      <c r="A7" s="174">
        <f>IF(B7="","",SUBTOTAL(3,$B$7:B7))</f>
        <v>1</v>
      </c>
      <c r="B7" s="175" t="s">
        <v>65</v>
      </c>
      <c r="C7" s="174" t="s">
        <v>8</v>
      </c>
      <c r="D7" s="176">
        <f>'Dat Dai'!I7</f>
        <v>88352000</v>
      </c>
      <c r="E7" s="176">
        <f>'Tài sản'!I7</f>
        <v>71294830.263999999</v>
      </c>
      <c r="F7" s="176"/>
      <c r="G7" s="176"/>
      <c r="H7" s="176"/>
      <c r="I7" s="176"/>
      <c r="J7" s="176"/>
      <c r="K7" s="176"/>
      <c r="L7" s="177">
        <f>SUM(D7:K7)</f>
        <v>159646830.264</v>
      </c>
      <c r="M7" s="34"/>
    </row>
    <row r="8" spans="1:13" ht="25.5" customHeight="1" x14ac:dyDescent="0.25">
      <c r="A8" s="34">
        <f>IF(B8="","",SUBTOTAL(3,$B$7:B8))</f>
        <v>2</v>
      </c>
      <c r="B8" s="63" t="s">
        <v>40</v>
      </c>
      <c r="C8" s="34" t="s">
        <v>8</v>
      </c>
      <c r="D8" s="48">
        <f>'Dat Dai'!I9</f>
        <v>5357000</v>
      </c>
      <c r="E8" s="48">
        <f>'Tài sản'!I36</f>
        <v>5531172.7680000002</v>
      </c>
      <c r="F8" s="48">
        <f>'Cây Cối'!I7</f>
        <v>4411000</v>
      </c>
      <c r="G8" s="48">
        <f>CDN!J7</f>
        <v>14610000.000000002</v>
      </c>
      <c r="H8" s="48">
        <f>'Ho tro ODDS'!K7</f>
        <v>2610000</v>
      </c>
      <c r="I8" s="48"/>
      <c r="J8" s="48">
        <f>'Ho tro de bi ton thuong (2)'!K8</f>
        <v>2000000</v>
      </c>
      <c r="K8" s="48"/>
      <c r="L8" s="177">
        <f t="shared" ref="L8:L18" si="0">SUM(D8:K8)</f>
        <v>34519172.767999999</v>
      </c>
      <c r="M8" s="34"/>
    </row>
    <row r="9" spans="1:13" ht="25.5" customHeight="1" x14ac:dyDescent="0.25">
      <c r="A9" s="34">
        <f>IF(B9="","",SUBTOTAL(3,$B$7:B9))</f>
        <v>3</v>
      </c>
      <c r="B9" s="63" t="s">
        <v>165</v>
      </c>
      <c r="C9" s="34" t="s">
        <v>8</v>
      </c>
      <c r="D9" s="48">
        <f>'Dat Dai'!I11</f>
        <v>1512000</v>
      </c>
      <c r="E9" s="48"/>
      <c r="F9" s="48">
        <f>'Cây Cối'!I22</f>
        <v>3211000</v>
      </c>
      <c r="G9" s="48">
        <f>CDN!J9</f>
        <v>4032000.0000000005</v>
      </c>
      <c r="H9" s="48"/>
      <c r="I9" s="48">
        <f>'Ho tro di doi nha (2)'!K8</f>
        <v>10000000</v>
      </c>
      <c r="J9" s="48">
        <f>'Ho tro de bi ton thuong (2)'!K9</f>
        <v>2000000</v>
      </c>
      <c r="K9" s="48">
        <f>'Tài sản'!I40</f>
        <v>181538714.73630002</v>
      </c>
      <c r="L9" s="177">
        <f t="shared" si="0"/>
        <v>202293714.73630002</v>
      </c>
      <c r="M9" s="34"/>
    </row>
    <row r="10" spans="1:13" ht="80.25" customHeight="1" x14ac:dyDescent="0.25">
      <c r="A10" s="34">
        <f>IF(B10="","",SUBTOTAL(3,$B$7:B10))</f>
        <v>4</v>
      </c>
      <c r="B10" s="63" t="s">
        <v>52</v>
      </c>
      <c r="C10" s="34" t="s">
        <v>8</v>
      </c>
      <c r="D10" s="48"/>
      <c r="E10" s="48">
        <f>'Tài sản'!I60+'Tài sản'!I68</f>
        <v>20890960.939999998</v>
      </c>
      <c r="F10" s="48"/>
      <c r="G10" s="48"/>
      <c r="H10" s="48"/>
      <c r="I10" s="48"/>
      <c r="J10" s="48"/>
      <c r="K10" s="48"/>
      <c r="L10" s="177">
        <f t="shared" si="0"/>
        <v>20890960.939999998</v>
      </c>
      <c r="M10" s="34" t="s">
        <v>364</v>
      </c>
    </row>
    <row r="11" spans="1:13" ht="25.5" customHeight="1" x14ac:dyDescent="0.25">
      <c r="A11" s="34">
        <f>IF(B11="","",SUBTOTAL(3,$B$7:B11))</f>
        <v>5</v>
      </c>
      <c r="B11" s="63" t="s">
        <v>28</v>
      </c>
      <c r="C11" s="34" t="s">
        <v>8</v>
      </c>
      <c r="D11" s="48">
        <f>'Dat Dai'!I13</f>
        <v>115058400</v>
      </c>
      <c r="E11" s="48">
        <f>'Tài sản'!I75</f>
        <v>28368556.95022</v>
      </c>
      <c r="F11" s="48">
        <f>'Cây Cối'!I35</f>
        <v>2830000</v>
      </c>
      <c r="G11" s="48">
        <f>CDN!J11</f>
        <v>0</v>
      </c>
      <c r="H11" s="48"/>
      <c r="I11" s="48">
        <f>'Ho tro di doi nha (2)'!K9</f>
        <v>1000000</v>
      </c>
      <c r="J11" s="48"/>
      <c r="K11" s="48"/>
      <c r="L11" s="177">
        <f t="shared" si="0"/>
        <v>147256956.95021999</v>
      </c>
      <c r="M11" s="34"/>
    </row>
    <row r="12" spans="1:13" ht="25.5" customHeight="1" x14ac:dyDescent="0.25">
      <c r="A12" s="34">
        <f>IF(B12="","",SUBTOTAL(3,$B$7:B12))</f>
        <v>6</v>
      </c>
      <c r="B12" s="63" t="s">
        <v>58</v>
      </c>
      <c r="C12" s="34" t="s">
        <v>8</v>
      </c>
      <c r="D12" s="48">
        <f>'Dat Dai'!I26</f>
        <v>5219500</v>
      </c>
      <c r="E12" s="48">
        <f>'Tài sản'!I97</f>
        <v>22321089.800000001</v>
      </c>
      <c r="F12" s="48">
        <f>'Cây Cối'!I49</f>
        <v>696000</v>
      </c>
      <c r="G12" s="48">
        <f>CDN!J20</f>
        <v>14235000.000000002</v>
      </c>
      <c r="H12" s="48"/>
      <c r="I12" s="48"/>
      <c r="J12" s="48"/>
      <c r="K12" s="48"/>
      <c r="L12" s="177">
        <f t="shared" si="0"/>
        <v>42471589.800000004</v>
      </c>
      <c r="M12" s="34"/>
    </row>
    <row r="13" spans="1:13" ht="25.5" customHeight="1" x14ac:dyDescent="0.25">
      <c r="A13" s="34">
        <f>IF(B13="","",SUBTOTAL(3,$B$7:B13))</f>
        <v>7</v>
      </c>
      <c r="B13" s="63" t="s">
        <v>31</v>
      </c>
      <c r="C13" s="34" t="s">
        <v>8</v>
      </c>
      <c r="D13" s="48">
        <f>'Dat Dai'!I23</f>
        <v>2611500</v>
      </c>
      <c r="E13" s="48">
        <f>'Tài sản'!I103</f>
        <v>98238731.028800011</v>
      </c>
      <c r="F13" s="48">
        <f>'Cây Cối'!I55</f>
        <v>1302000</v>
      </c>
      <c r="G13" s="48">
        <f>CDN!J17</f>
        <v>7065000</v>
      </c>
      <c r="H13" s="48"/>
      <c r="I13" s="48">
        <f>'Ho tro di doi nha (2)'!K10</f>
        <v>10000000</v>
      </c>
      <c r="J13" s="48"/>
      <c r="K13" s="48"/>
      <c r="L13" s="177">
        <f t="shared" si="0"/>
        <v>119217231.02880001</v>
      </c>
      <c r="M13" s="34"/>
    </row>
    <row r="14" spans="1:13" ht="25.5" customHeight="1" x14ac:dyDescent="0.25">
      <c r="A14" s="34">
        <f>IF(B14="","",SUBTOTAL(3,$B$7:B14))</f>
        <v>8</v>
      </c>
      <c r="B14" s="63" t="s">
        <v>54</v>
      </c>
      <c r="C14" s="34" t="s">
        <v>8</v>
      </c>
      <c r="D14" s="48">
        <f>'Dat Dai'!I19</f>
        <v>5675500</v>
      </c>
      <c r="E14" s="48">
        <f>'Tài sản'!I113</f>
        <v>13312200</v>
      </c>
      <c r="F14" s="48">
        <f>'Cây Cối'!I63</f>
        <v>844000</v>
      </c>
      <c r="G14" s="48">
        <f>CDN!J13</f>
        <v>15360000</v>
      </c>
      <c r="H14" s="48"/>
      <c r="I14" s="48"/>
      <c r="J14" s="48"/>
      <c r="K14" s="48"/>
      <c r="L14" s="177">
        <f t="shared" si="0"/>
        <v>35191700</v>
      </c>
      <c r="M14" s="34"/>
    </row>
    <row r="15" spans="1:13" ht="25.5" customHeight="1" x14ac:dyDescent="0.25">
      <c r="A15" s="34">
        <f>IF(B15="","",SUBTOTAL(3,$B$7:B15))</f>
        <v>9</v>
      </c>
      <c r="B15" s="63" t="s">
        <v>56</v>
      </c>
      <c r="C15" s="34" t="s">
        <v>8</v>
      </c>
      <c r="D15" s="48">
        <f>'Dat Dai'!I15</f>
        <v>32359500</v>
      </c>
      <c r="E15" s="48"/>
      <c r="F15" s="48"/>
      <c r="G15" s="48"/>
      <c r="H15" s="48"/>
      <c r="I15" s="48"/>
      <c r="J15" s="48"/>
      <c r="K15" s="48"/>
      <c r="L15" s="177">
        <f t="shared" si="0"/>
        <v>32359500</v>
      </c>
      <c r="M15" s="34"/>
    </row>
    <row r="16" spans="1:13" ht="25.5" customHeight="1" x14ac:dyDescent="0.25">
      <c r="A16" s="34">
        <f>IF(B16="","",SUBTOTAL(3,$B$7:B16))</f>
        <v>10</v>
      </c>
      <c r="B16" s="63" t="s">
        <v>57</v>
      </c>
      <c r="C16" s="34" t="s">
        <v>8</v>
      </c>
      <c r="D16" s="48">
        <f>'Dat Dai'!I17</f>
        <v>92848500</v>
      </c>
      <c r="E16" s="48"/>
      <c r="F16" s="48"/>
      <c r="G16" s="48"/>
      <c r="H16" s="48"/>
      <c r="I16" s="48"/>
      <c r="J16" s="48"/>
      <c r="K16" s="48"/>
      <c r="L16" s="177">
        <f t="shared" si="0"/>
        <v>92848500</v>
      </c>
      <c r="M16" s="34"/>
    </row>
    <row r="17" spans="1:13" ht="105" customHeight="1" x14ac:dyDescent="0.25">
      <c r="A17" s="34">
        <f>IF(B17="","",SUBTOTAL(3,$B$7:B17))</f>
        <v>11</v>
      </c>
      <c r="B17" s="63" t="s">
        <v>320</v>
      </c>
      <c r="C17" s="34" t="s">
        <v>8</v>
      </c>
      <c r="D17" s="48"/>
      <c r="E17" s="48">
        <f>'Tài sản'!I117</f>
        <v>19451887.685000002</v>
      </c>
      <c r="F17" s="48"/>
      <c r="G17" s="48"/>
      <c r="H17" s="48"/>
      <c r="I17" s="48"/>
      <c r="J17" s="48"/>
      <c r="K17" s="48"/>
      <c r="L17" s="177">
        <f t="shared" si="0"/>
        <v>19451887.685000002</v>
      </c>
      <c r="M17" s="34" t="s">
        <v>364</v>
      </c>
    </row>
    <row r="18" spans="1:13" ht="88.5" customHeight="1" x14ac:dyDescent="0.25">
      <c r="A18" s="34">
        <f>IF(B18="","",SUBTOTAL(3,$B$7:B18))</f>
        <v>12</v>
      </c>
      <c r="B18" s="63" t="s">
        <v>321</v>
      </c>
      <c r="C18" s="34" t="s">
        <v>8</v>
      </c>
      <c r="D18" s="48"/>
      <c r="E18" s="48">
        <f>'Tài sản'!I124</f>
        <v>12122418</v>
      </c>
      <c r="F18" s="48"/>
      <c r="G18" s="48"/>
      <c r="H18" s="48"/>
      <c r="I18" s="48"/>
      <c r="J18" s="48"/>
      <c r="K18" s="48"/>
      <c r="L18" s="177">
        <f t="shared" si="0"/>
        <v>12122418</v>
      </c>
      <c r="M18" s="34" t="s">
        <v>364</v>
      </c>
    </row>
    <row r="19" spans="1:13" s="70" customFormat="1" ht="28.5" customHeight="1" x14ac:dyDescent="0.25">
      <c r="A19" s="178" t="s">
        <v>84</v>
      </c>
      <c r="B19" s="178"/>
      <c r="C19" s="178"/>
      <c r="D19" s="172">
        <f t="shared" ref="D19:L19" si="1">SUM(D7:D18)</f>
        <v>348993900</v>
      </c>
      <c r="E19" s="172">
        <f t="shared" si="1"/>
        <v>291531847.43602002</v>
      </c>
      <c r="F19" s="172">
        <f t="shared" si="1"/>
        <v>13294000</v>
      </c>
      <c r="G19" s="172">
        <f t="shared" si="1"/>
        <v>55302000.000000007</v>
      </c>
      <c r="H19" s="172">
        <f t="shared" si="1"/>
        <v>2610000</v>
      </c>
      <c r="I19" s="172">
        <f t="shared" si="1"/>
        <v>21000000</v>
      </c>
      <c r="J19" s="172">
        <f t="shared" si="1"/>
        <v>4000000</v>
      </c>
      <c r="K19" s="172">
        <f t="shared" si="1"/>
        <v>181538714.73630002</v>
      </c>
      <c r="L19" s="172">
        <f t="shared" si="1"/>
        <v>918270462.17231989</v>
      </c>
      <c r="M19" s="173"/>
    </row>
    <row r="20" spans="1:13" s="170" customFormat="1" ht="15" x14ac:dyDescent="0.25">
      <c r="B20" s="171"/>
    </row>
    <row r="21" spans="1:13" s="170" customFormat="1" ht="15" x14ac:dyDescent="0.25">
      <c r="B21" s="171"/>
    </row>
    <row r="22" spans="1:13" s="170" customFormat="1" ht="15" x14ac:dyDescent="0.25">
      <c r="B22" s="171"/>
    </row>
    <row r="23" spans="1:13" s="170" customFormat="1" ht="15" x14ac:dyDescent="0.25">
      <c r="B23" s="171"/>
    </row>
    <row r="24" spans="1:13" s="170" customFormat="1" ht="15" x14ac:dyDescent="0.25">
      <c r="B24" s="171"/>
    </row>
    <row r="25" spans="1:13" s="170" customFormat="1" ht="15" x14ac:dyDescent="0.25">
      <c r="B25" s="171"/>
    </row>
    <row r="26" spans="1:13" s="170" customFormat="1" ht="15" x14ac:dyDescent="0.25">
      <c r="B26" s="171"/>
    </row>
    <row r="27" spans="1:13" s="170" customFormat="1" ht="15" x14ac:dyDescent="0.25">
      <c r="B27" s="171"/>
    </row>
    <row r="28" spans="1:13" s="170" customFormat="1" ht="15" x14ac:dyDescent="0.25">
      <c r="B28" s="171"/>
    </row>
    <row r="29" spans="1:13" s="170" customFormat="1" ht="15" x14ac:dyDescent="0.25">
      <c r="B29" s="171"/>
    </row>
    <row r="30" spans="1:13" s="170" customFormat="1" ht="15" x14ac:dyDescent="0.25">
      <c r="B30" s="171"/>
    </row>
    <row r="31" spans="1:13" s="170" customFormat="1" ht="15" x14ac:dyDescent="0.25">
      <c r="B31" s="171"/>
    </row>
    <row r="32" spans="1:13" s="170" customFormat="1" ht="15" x14ac:dyDescent="0.25">
      <c r="B32" s="171"/>
    </row>
    <row r="33" spans="2:2" s="170" customFormat="1" ht="15" x14ac:dyDescent="0.25">
      <c r="B33" s="171"/>
    </row>
    <row r="34" spans="2:2" s="170" customFormat="1" ht="15" x14ac:dyDescent="0.25">
      <c r="B34" s="171"/>
    </row>
    <row r="35" spans="2:2" s="170" customFormat="1" ht="15" x14ac:dyDescent="0.25">
      <c r="B35" s="171"/>
    </row>
    <row r="36" spans="2:2" s="170" customFormat="1" ht="15" x14ac:dyDescent="0.25">
      <c r="B36" s="171"/>
    </row>
    <row r="37" spans="2:2" s="170" customFormat="1" ht="15" x14ac:dyDescent="0.25">
      <c r="B37" s="171"/>
    </row>
    <row r="38" spans="2:2" s="170" customFormat="1" ht="15" x14ac:dyDescent="0.25">
      <c r="B38" s="171"/>
    </row>
    <row r="39" spans="2:2" s="170" customFormat="1" ht="15" x14ac:dyDescent="0.25">
      <c r="B39" s="171"/>
    </row>
    <row r="40" spans="2:2" s="170" customFormat="1" ht="15" x14ac:dyDescent="0.25">
      <c r="B40" s="171"/>
    </row>
    <row r="41" spans="2:2" s="170" customFormat="1" ht="15" x14ac:dyDescent="0.25">
      <c r="B41" s="171"/>
    </row>
    <row r="42" spans="2:2" s="170" customFormat="1" ht="15" x14ac:dyDescent="0.25">
      <c r="B42" s="171"/>
    </row>
    <row r="43" spans="2:2" s="170" customFormat="1" ht="15" x14ac:dyDescent="0.25">
      <c r="B43" s="171"/>
    </row>
    <row r="44" spans="2:2" s="170" customFormat="1" ht="15" x14ac:dyDescent="0.25">
      <c r="B44" s="171"/>
    </row>
    <row r="45" spans="2:2" s="170" customFormat="1" ht="15" x14ac:dyDescent="0.25">
      <c r="B45" s="171"/>
    </row>
    <row r="46" spans="2:2" s="170" customFormat="1" ht="15" x14ac:dyDescent="0.25">
      <c r="B46" s="171"/>
    </row>
    <row r="47" spans="2:2" s="170" customFormat="1" ht="15" x14ac:dyDescent="0.25">
      <c r="B47" s="171"/>
    </row>
    <row r="48" spans="2:2" s="170" customFormat="1" ht="15" x14ac:dyDescent="0.25">
      <c r="B48" s="171"/>
    </row>
    <row r="49" spans="2:2" s="170" customFormat="1" ht="15" x14ac:dyDescent="0.25">
      <c r="B49" s="171"/>
    </row>
    <row r="50" spans="2:2" s="170" customFormat="1" ht="15" x14ac:dyDescent="0.25">
      <c r="B50" s="171"/>
    </row>
    <row r="51" spans="2:2" s="170" customFormat="1" ht="15" x14ac:dyDescent="0.25">
      <c r="B51" s="171"/>
    </row>
    <row r="52" spans="2:2" s="170" customFormat="1" ht="15" x14ac:dyDescent="0.25">
      <c r="B52" s="171"/>
    </row>
    <row r="53" spans="2:2" s="170" customFormat="1" ht="15" x14ac:dyDescent="0.25">
      <c r="B53" s="171"/>
    </row>
    <row r="54" spans="2:2" s="170" customFormat="1" ht="15" x14ac:dyDescent="0.25">
      <c r="B54" s="171"/>
    </row>
    <row r="55" spans="2:2" s="170" customFormat="1" ht="15" x14ac:dyDescent="0.25">
      <c r="B55" s="171"/>
    </row>
    <row r="56" spans="2:2" s="170" customFormat="1" ht="15" x14ac:dyDescent="0.25">
      <c r="B56" s="171"/>
    </row>
    <row r="57" spans="2:2" s="170" customFormat="1" ht="15" x14ac:dyDescent="0.25">
      <c r="B57" s="171"/>
    </row>
    <row r="58" spans="2:2" s="170" customFormat="1" ht="15" x14ac:dyDescent="0.25">
      <c r="B58" s="171"/>
    </row>
    <row r="59" spans="2:2" s="170" customFormat="1" ht="15" x14ac:dyDescent="0.25">
      <c r="B59" s="171"/>
    </row>
    <row r="60" spans="2:2" s="170" customFormat="1" ht="15" x14ac:dyDescent="0.25">
      <c r="B60" s="171"/>
    </row>
    <row r="61" spans="2:2" s="170" customFormat="1" ht="15" x14ac:dyDescent="0.25">
      <c r="B61" s="171"/>
    </row>
    <row r="62" spans="2:2" s="170" customFormat="1" ht="15" x14ac:dyDescent="0.25">
      <c r="B62" s="171"/>
    </row>
    <row r="63" spans="2:2" s="170" customFormat="1" ht="15" x14ac:dyDescent="0.25">
      <c r="B63" s="171"/>
    </row>
    <row r="64" spans="2:2" s="170" customFormat="1" ht="15" x14ac:dyDescent="0.25">
      <c r="B64" s="171"/>
    </row>
    <row r="65" spans="2:2" s="170" customFormat="1" ht="15" x14ac:dyDescent="0.25">
      <c r="B65" s="171"/>
    </row>
    <row r="66" spans="2:2" s="170" customFormat="1" ht="15" x14ac:dyDescent="0.25">
      <c r="B66" s="171"/>
    </row>
    <row r="67" spans="2:2" s="170" customFormat="1" ht="15" x14ac:dyDescent="0.25">
      <c r="B67" s="171"/>
    </row>
    <row r="68" spans="2:2" s="170" customFormat="1" ht="15" x14ac:dyDescent="0.25">
      <c r="B68" s="171"/>
    </row>
    <row r="69" spans="2:2" s="170" customFormat="1" ht="15" x14ac:dyDescent="0.25">
      <c r="B69" s="171"/>
    </row>
    <row r="70" spans="2:2" s="170" customFormat="1" ht="15" x14ac:dyDescent="0.25">
      <c r="B70" s="171"/>
    </row>
    <row r="71" spans="2:2" s="170" customFormat="1" ht="15" x14ac:dyDescent="0.25">
      <c r="B71" s="171"/>
    </row>
    <row r="72" spans="2:2" s="170" customFormat="1" ht="15" x14ac:dyDescent="0.25">
      <c r="B72" s="171"/>
    </row>
    <row r="73" spans="2:2" s="170" customFormat="1" ht="15" x14ac:dyDescent="0.25">
      <c r="B73" s="171"/>
    </row>
    <row r="74" spans="2:2" s="170" customFormat="1" ht="15" x14ac:dyDescent="0.25">
      <c r="B74" s="171"/>
    </row>
    <row r="75" spans="2:2" s="170" customFormat="1" ht="15" x14ac:dyDescent="0.25">
      <c r="B75" s="171"/>
    </row>
    <row r="76" spans="2:2" s="170" customFormat="1" ht="15" x14ac:dyDescent="0.25">
      <c r="B76" s="171"/>
    </row>
    <row r="77" spans="2:2" s="170" customFormat="1" ht="15" x14ac:dyDescent="0.25">
      <c r="B77" s="171"/>
    </row>
    <row r="78" spans="2:2" s="170" customFormat="1" ht="15" x14ac:dyDescent="0.25">
      <c r="B78" s="171"/>
    </row>
    <row r="79" spans="2:2" s="170" customFormat="1" ht="15" x14ac:dyDescent="0.25">
      <c r="B79" s="171"/>
    </row>
    <row r="80" spans="2:2" s="170" customFormat="1" ht="15" x14ac:dyDescent="0.25">
      <c r="B80" s="171"/>
    </row>
    <row r="81" spans="2:2" s="170" customFormat="1" ht="15" x14ac:dyDescent="0.25">
      <c r="B81" s="171"/>
    </row>
    <row r="82" spans="2:2" s="170" customFormat="1" ht="15" x14ac:dyDescent="0.25">
      <c r="B82" s="171"/>
    </row>
    <row r="83" spans="2:2" s="170" customFormat="1" ht="15" x14ac:dyDescent="0.25">
      <c r="B83" s="171"/>
    </row>
    <row r="84" spans="2:2" s="170" customFormat="1" ht="15" x14ac:dyDescent="0.25">
      <c r="B84" s="171"/>
    </row>
    <row r="85" spans="2:2" s="170" customFormat="1" ht="15" x14ac:dyDescent="0.25">
      <c r="B85" s="171"/>
    </row>
    <row r="86" spans="2:2" s="170" customFormat="1" ht="15" x14ac:dyDescent="0.25">
      <c r="B86" s="171"/>
    </row>
    <row r="87" spans="2:2" s="170" customFormat="1" ht="15" x14ac:dyDescent="0.25">
      <c r="B87" s="171"/>
    </row>
    <row r="88" spans="2:2" s="170" customFormat="1" ht="15" x14ac:dyDescent="0.25">
      <c r="B88" s="171"/>
    </row>
    <row r="89" spans="2:2" s="170" customFormat="1" ht="15" x14ac:dyDescent="0.25">
      <c r="B89" s="171"/>
    </row>
    <row r="90" spans="2:2" s="170" customFormat="1" ht="15" x14ac:dyDescent="0.25">
      <c r="B90" s="171"/>
    </row>
    <row r="91" spans="2:2" s="170" customFormat="1" ht="15" x14ac:dyDescent="0.25">
      <c r="B91" s="171"/>
    </row>
  </sheetData>
  <mergeCells count="6">
    <mergeCell ref="A19:C19"/>
    <mergeCell ref="A1:L1"/>
    <mergeCell ref="A2:L2"/>
    <mergeCell ref="A3:L3"/>
    <mergeCell ref="K5:L5"/>
    <mergeCell ref="A4:L4"/>
  </mergeCells>
  <pageMargins left="0" right="0" top="0.27" bottom="0" header="0.1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topLeftCell="A16" zoomScaleNormal="100" zoomScaleSheetLayoutView="115" workbookViewId="0">
      <selection activeCell="D24" sqref="D24"/>
    </sheetView>
  </sheetViews>
  <sheetFormatPr defaultColWidth="8.85546875" defaultRowHeight="15" x14ac:dyDescent="0.25"/>
  <cols>
    <col min="1" max="1" width="4" style="40" customWidth="1"/>
    <col min="2" max="2" width="22.28515625" style="39" customWidth="1"/>
    <col min="3" max="3" width="15.85546875" style="39" customWidth="1"/>
    <col min="4" max="6" width="8.85546875" style="39"/>
    <col min="7" max="7" width="10.5703125" style="39" customWidth="1"/>
    <col min="8" max="8" width="17" style="39" customWidth="1"/>
    <col min="9" max="9" width="19.5703125" style="39" customWidth="1"/>
    <col min="10" max="10" width="15.85546875" style="77" customWidth="1"/>
    <col min="11" max="16384" width="8.85546875" style="39"/>
  </cols>
  <sheetData>
    <row r="1" spans="1:10" s="38" customFormat="1" ht="24.75" customHeight="1" x14ac:dyDescent="0.25">
      <c r="A1" s="183" t="s">
        <v>365</v>
      </c>
      <c r="B1" s="183"/>
      <c r="C1" s="183"/>
      <c r="D1" s="183"/>
      <c r="E1" s="183"/>
      <c r="F1" s="183"/>
      <c r="G1" s="183"/>
      <c r="H1" s="183"/>
      <c r="I1" s="183"/>
      <c r="J1" s="183"/>
    </row>
    <row r="2" spans="1:10" s="27" customFormat="1" ht="20.100000000000001" customHeight="1" x14ac:dyDescent="0.25">
      <c r="A2" s="184" t="s">
        <v>98</v>
      </c>
      <c r="B2" s="184"/>
      <c r="C2" s="184"/>
      <c r="D2" s="184"/>
      <c r="E2" s="184"/>
      <c r="F2" s="184"/>
      <c r="G2" s="184"/>
      <c r="H2" s="184"/>
      <c r="I2" s="184"/>
      <c r="J2" s="184"/>
    </row>
    <row r="3" spans="1:10" s="27" customFormat="1" ht="20.100000000000001" customHeight="1" x14ac:dyDescent="0.25">
      <c r="A3" s="184" t="s">
        <v>101</v>
      </c>
      <c r="B3" s="184"/>
      <c r="C3" s="184"/>
      <c r="D3" s="184"/>
      <c r="E3" s="184"/>
      <c r="F3" s="184"/>
      <c r="G3" s="184"/>
      <c r="H3" s="184"/>
      <c r="I3" s="184"/>
      <c r="J3" s="184"/>
    </row>
    <row r="4" spans="1:10" s="27" customFormat="1" ht="20.100000000000001" customHeight="1" x14ac:dyDescent="0.25">
      <c r="A4" s="182" t="str">
        <f>'Tong Hop'!A4:L4</f>
        <v>(Kèm theo Quyết định số …../QĐ-UBND ngày …. tháng 01 năm 2024 của UBND huyện Ba Bể)</v>
      </c>
      <c r="B4" s="182"/>
      <c r="C4" s="182"/>
      <c r="D4" s="182"/>
      <c r="E4" s="182"/>
      <c r="F4" s="182"/>
      <c r="G4" s="182"/>
      <c r="H4" s="182"/>
      <c r="I4" s="182"/>
      <c r="J4" s="182"/>
    </row>
    <row r="5" spans="1:10" s="27" customFormat="1" ht="20.100000000000001" customHeight="1" x14ac:dyDescent="0.25">
      <c r="B5" s="79"/>
      <c r="I5" s="79" t="s">
        <v>99</v>
      </c>
      <c r="J5" s="75"/>
    </row>
    <row r="6" spans="1:10" s="82" customFormat="1" ht="31.5" x14ac:dyDescent="0.25">
      <c r="A6" s="84" t="s">
        <v>0</v>
      </c>
      <c r="B6" s="84" t="s">
        <v>1</v>
      </c>
      <c r="C6" s="83" t="s">
        <v>19</v>
      </c>
      <c r="D6" s="83" t="s">
        <v>2</v>
      </c>
      <c r="E6" s="83" t="s">
        <v>3</v>
      </c>
      <c r="F6" s="83" t="s">
        <v>4</v>
      </c>
      <c r="G6" s="44" t="s">
        <v>12</v>
      </c>
      <c r="H6" s="56" t="s">
        <v>5</v>
      </c>
      <c r="I6" s="56" t="s">
        <v>6</v>
      </c>
      <c r="J6" s="76" t="s">
        <v>7</v>
      </c>
    </row>
    <row r="7" spans="1:10" s="45" customFormat="1" ht="15.75" x14ac:dyDescent="0.25">
      <c r="A7" s="55">
        <f>IF(B7="","",SUBTOTAL(3,$B$7:B7))</f>
        <v>1</v>
      </c>
      <c r="B7" s="169" t="s">
        <v>65</v>
      </c>
      <c r="C7" s="83"/>
      <c r="D7" s="83"/>
      <c r="E7" s="83"/>
      <c r="F7" s="83"/>
      <c r="G7" s="44"/>
      <c r="H7" s="56"/>
      <c r="I7" s="56">
        <f>SUM(I8:I8)</f>
        <v>88352000</v>
      </c>
      <c r="J7" s="78"/>
    </row>
    <row r="8" spans="1:10" s="46" customFormat="1" ht="15.75" x14ac:dyDescent="0.25">
      <c r="A8" s="55" t="str">
        <f>IF(B8="","",SUBTOTAL(3,$B$7:B8))</f>
        <v/>
      </c>
      <c r="B8" s="140"/>
      <c r="C8" s="57" t="s">
        <v>8</v>
      </c>
      <c r="D8" s="57">
        <v>1</v>
      </c>
      <c r="E8" s="57">
        <v>30</v>
      </c>
      <c r="F8" s="57" t="s">
        <v>9</v>
      </c>
      <c r="G8" s="50">
        <v>44</v>
      </c>
      <c r="H8" s="58">
        <v>2008000</v>
      </c>
      <c r="I8" s="58">
        <f t="shared" ref="I8" si="0">G8*H8</f>
        <v>88352000</v>
      </c>
      <c r="J8" s="78"/>
    </row>
    <row r="9" spans="1:10" s="45" customFormat="1" ht="15.75" x14ac:dyDescent="0.25">
      <c r="A9" s="55">
        <f>IF(B9="","",SUBTOTAL(3,$B$7:B9))</f>
        <v>2</v>
      </c>
      <c r="B9" s="169" t="s">
        <v>40</v>
      </c>
      <c r="C9" s="83"/>
      <c r="D9" s="83"/>
      <c r="E9" s="83"/>
      <c r="F9" s="83"/>
      <c r="G9" s="44"/>
      <c r="H9" s="56"/>
      <c r="I9" s="56">
        <f>SUM(I10)</f>
        <v>5357000</v>
      </c>
      <c r="J9" s="78"/>
    </row>
    <row r="10" spans="1:10" s="46" customFormat="1" ht="15.75" x14ac:dyDescent="0.25">
      <c r="A10" s="55" t="str">
        <f>IF(B10="","",SUBTOTAL(3,$B$7:B10))</f>
        <v/>
      </c>
      <c r="B10" s="140"/>
      <c r="C10" s="57" t="s">
        <v>8</v>
      </c>
      <c r="D10" s="57">
        <v>1</v>
      </c>
      <c r="E10" s="57">
        <v>31</v>
      </c>
      <c r="F10" s="57" t="s">
        <v>11</v>
      </c>
      <c r="G10" s="50">
        <v>97.4</v>
      </c>
      <c r="H10" s="58">
        <v>55000</v>
      </c>
      <c r="I10" s="58">
        <f t="shared" ref="I10" si="1">G10*H10</f>
        <v>5357000</v>
      </c>
      <c r="J10" s="78"/>
    </row>
    <row r="11" spans="1:10" s="47" customFormat="1" ht="15.75" x14ac:dyDescent="0.2">
      <c r="A11" s="59">
        <f>IF(B11="","",SUBTOTAL(3,$B$7:B11))</f>
        <v>3</v>
      </c>
      <c r="B11" s="169" t="s">
        <v>165</v>
      </c>
      <c r="C11" s="83"/>
      <c r="D11" s="83"/>
      <c r="E11" s="83"/>
      <c r="F11" s="83"/>
      <c r="G11" s="44"/>
      <c r="H11" s="56"/>
      <c r="I11" s="56">
        <f>SUM(I12)</f>
        <v>1512000</v>
      </c>
      <c r="J11" s="78"/>
    </row>
    <row r="12" spans="1:10" ht="15.75" x14ac:dyDescent="0.25">
      <c r="A12" s="59" t="str">
        <f>IF(B12="","",SUBTOTAL(3,$B$7:B12))</f>
        <v/>
      </c>
      <c r="B12" s="140"/>
      <c r="C12" s="57" t="s">
        <v>8</v>
      </c>
      <c r="D12" s="57">
        <v>1</v>
      </c>
      <c r="E12" s="57">
        <v>58</v>
      </c>
      <c r="F12" s="57" t="s">
        <v>166</v>
      </c>
      <c r="G12" s="50">
        <v>33.6</v>
      </c>
      <c r="H12" s="58">
        <v>45000</v>
      </c>
      <c r="I12" s="58">
        <f t="shared" ref="I12" si="2">G12*H12</f>
        <v>1512000</v>
      </c>
      <c r="J12" s="78"/>
    </row>
    <row r="13" spans="1:10" s="47" customFormat="1" ht="15.75" x14ac:dyDescent="0.2">
      <c r="A13" s="59">
        <f>IF(B13="","",SUBTOTAL(3,$B$7:B13))</f>
        <v>4</v>
      </c>
      <c r="B13" s="169" t="s">
        <v>28</v>
      </c>
      <c r="C13" s="83"/>
      <c r="D13" s="83"/>
      <c r="E13" s="83"/>
      <c r="F13" s="83"/>
      <c r="G13" s="44"/>
      <c r="H13" s="56"/>
      <c r="I13" s="56">
        <f>SUM(I14:I14)</f>
        <v>115058400</v>
      </c>
      <c r="J13" s="78"/>
    </row>
    <row r="14" spans="1:10" ht="15.75" x14ac:dyDescent="0.25">
      <c r="A14" s="59" t="str">
        <f>IF(B14="","",SUBTOTAL(3,$B$7:B14))</f>
        <v/>
      </c>
      <c r="B14" s="140"/>
      <c r="C14" s="57" t="s">
        <v>8</v>
      </c>
      <c r="D14" s="57">
        <v>1</v>
      </c>
      <c r="E14" s="57">
        <v>68</v>
      </c>
      <c r="F14" s="57" t="s">
        <v>9</v>
      </c>
      <c r="G14" s="50">
        <v>57.3</v>
      </c>
      <c r="H14" s="58">
        <v>2008000</v>
      </c>
      <c r="I14" s="58">
        <f t="shared" ref="I14" si="3">G14*H14</f>
        <v>115058400</v>
      </c>
      <c r="J14" s="78"/>
    </row>
    <row r="15" spans="1:10" s="47" customFormat="1" ht="15.75" x14ac:dyDescent="0.2">
      <c r="A15" s="59">
        <f>IF(B15="","",SUBTOTAL(3,$B$7:B15))</f>
        <v>5</v>
      </c>
      <c r="B15" s="169" t="s">
        <v>56</v>
      </c>
      <c r="C15" s="83"/>
      <c r="D15" s="83"/>
      <c r="E15" s="83"/>
      <c r="F15" s="83"/>
      <c r="G15" s="44"/>
      <c r="H15" s="56"/>
      <c r="I15" s="56">
        <f>SUM(I16:I16)</f>
        <v>32359500</v>
      </c>
      <c r="J15" s="78"/>
    </row>
    <row r="16" spans="1:10" ht="15.75" x14ac:dyDescent="0.25">
      <c r="A16" s="59"/>
      <c r="B16" s="140"/>
      <c r="C16" s="57" t="s">
        <v>8</v>
      </c>
      <c r="D16" s="57">
        <v>1</v>
      </c>
      <c r="E16" s="57">
        <v>80</v>
      </c>
      <c r="F16" s="57" t="s">
        <v>9</v>
      </c>
      <c r="G16" s="50">
        <v>15.3</v>
      </c>
      <c r="H16" s="58">
        <v>2115000</v>
      </c>
      <c r="I16" s="58">
        <f t="shared" ref="I16" si="4">G16*H16</f>
        <v>32359500</v>
      </c>
      <c r="J16" s="78"/>
    </row>
    <row r="17" spans="1:10" s="47" customFormat="1" ht="15.75" x14ac:dyDescent="0.2">
      <c r="A17" s="59">
        <f>IF(B17="","",SUBTOTAL(3,$B$7:B17))</f>
        <v>6</v>
      </c>
      <c r="B17" s="169" t="s">
        <v>57</v>
      </c>
      <c r="C17" s="83"/>
      <c r="D17" s="83"/>
      <c r="E17" s="83"/>
      <c r="F17" s="83"/>
      <c r="G17" s="44"/>
      <c r="H17" s="56"/>
      <c r="I17" s="56">
        <f>SUM(I18:I18)</f>
        <v>92848500</v>
      </c>
      <c r="J17" s="78"/>
    </row>
    <row r="18" spans="1:10" ht="15.75" x14ac:dyDescent="0.25">
      <c r="A18" s="59" t="str">
        <f>IF(B18="","",SUBTOTAL(3,$B$7:B18))</f>
        <v/>
      </c>
      <c r="B18" s="140"/>
      <c r="C18" s="57" t="s">
        <v>8</v>
      </c>
      <c r="D18" s="57">
        <v>1</v>
      </c>
      <c r="E18" s="57">
        <v>81</v>
      </c>
      <c r="F18" s="57" t="s">
        <v>9</v>
      </c>
      <c r="G18" s="50">
        <v>43.9</v>
      </c>
      <c r="H18" s="58">
        <v>2115000</v>
      </c>
      <c r="I18" s="58">
        <f t="shared" ref="I18" si="5">G18*H18</f>
        <v>92848500</v>
      </c>
      <c r="J18" s="78"/>
    </row>
    <row r="19" spans="1:10" s="47" customFormat="1" ht="15.75" x14ac:dyDescent="0.2">
      <c r="A19" s="59">
        <f>IF(B19="","",SUBTOTAL(3,$B$7:B19))</f>
        <v>7</v>
      </c>
      <c r="B19" s="169" t="s">
        <v>54</v>
      </c>
      <c r="C19" s="83"/>
      <c r="D19" s="83"/>
      <c r="E19" s="83"/>
      <c r="F19" s="83"/>
      <c r="G19" s="44"/>
      <c r="H19" s="56"/>
      <c r="I19" s="56">
        <f>SUM(I20:I22)</f>
        <v>5675500</v>
      </c>
      <c r="J19" s="78"/>
    </row>
    <row r="20" spans="1:10" ht="15.75" x14ac:dyDescent="0.25">
      <c r="A20" s="59" t="str">
        <f>IF(B20="","",SUBTOTAL(3,$B$7:B20))</f>
        <v/>
      </c>
      <c r="B20" s="140"/>
      <c r="C20" s="57" t="s">
        <v>8</v>
      </c>
      <c r="D20" s="57">
        <v>1</v>
      </c>
      <c r="E20" s="57">
        <v>6</v>
      </c>
      <c r="F20" s="57" t="s">
        <v>166</v>
      </c>
      <c r="G20" s="50">
        <v>43.5</v>
      </c>
      <c r="H20" s="58">
        <v>45000</v>
      </c>
      <c r="I20" s="58">
        <f t="shared" ref="I20:I21" si="6">G20*H20</f>
        <v>1957500</v>
      </c>
      <c r="J20" s="78"/>
    </row>
    <row r="21" spans="1:10" ht="15.75" x14ac:dyDescent="0.25">
      <c r="A21" s="59" t="str">
        <f>IF(B21="","",SUBTOTAL(3,$B$7:B21))</f>
        <v/>
      </c>
      <c r="B21" s="140"/>
      <c r="C21" s="57" t="s">
        <v>8</v>
      </c>
      <c r="D21" s="57">
        <v>1</v>
      </c>
      <c r="E21" s="57">
        <v>10</v>
      </c>
      <c r="F21" s="57" t="s">
        <v>11</v>
      </c>
      <c r="G21" s="50">
        <v>13</v>
      </c>
      <c r="H21" s="58">
        <v>55000</v>
      </c>
      <c r="I21" s="58">
        <f t="shared" si="6"/>
        <v>715000</v>
      </c>
      <c r="J21" s="78"/>
    </row>
    <row r="22" spans="1:10" ht="15.75" x14ac:dyDescent="0.25">
      <c r="A22" s="59" t="str">
        <f>IF(B22="","",SUBTOTAL(3,$B$7:B22))</f>
        <v/>
      </c>
      <c r="B22" s="140"/>
      <c r="C22" s="57" t="s">
        <v>8</v>
      </c>
      <c r="D22" s="57">
        <v>1</v>
      </c>
      <c r="E22" s="57">
        <v>54</v>
      </c>
      <c r="F22" s="57" t="s">
        <v>11</v>
      </c>
      <c r="G22" s="50">
        <v>54.6</v>
      </c>
      <c r="H22" s="58">
        <v>55000</v>
      </c>
      <c r="I22" s="58">
        <f>H22*G22</f>
        <v>3003000</v>
      </c>
      <c r="J22" s="78"/>
    </row>
    <row r="23" spans="1:10" s="47" customFormat="1" ht="15.75" x14ac:dyDescent="0.2">
      <c r="A23" s="59">
        <f>IF(B23="","",SUBTOTAL(3,$B$7:B23))</f>
        <v>8</v>
      </c>
      <c r="B23" s="169" t="s">
        <v>31</v>
      </c>
      <c r="C23" s="83"/>
      <c r="D23" s="83"/>
      <c r="E23" s="83"/>
      <c r="F23" s="83"/>
      <c r="G23" s="44"/>
      <c r="H23" s="56"/>
      <c r="I23" s="56">
        <f>SUM(I24:I25)</f>
        <v>2611500</v>
      </c>
      <c r="J23" s="78"/>
    </row>
    <row r="24" spans="1:10" ht="15.75" x14ac:dyDescent="0.25">
      <c r="A24" s="59" t="str">
        <f>IF(B24="","",SUBTOTAL(3,$B$7:B24))</f>
        <v/>
      </c>
      <c r="B24" s="140"/>
      <c r="C24" s="57" t="s">
        <v>8</v>
      </c>
      <c r="D24" s="57">
        <v>1</v>
      </c>
      <c r="E24" s="57">
        <v>9</v>
      </c>
      <c r="F24" s="57" t="s">
        <v>11</v>
      </c>
      <c r="G24" s="50">
        <v>30.3</v>
      </c>
      <c r="H24" s="58">
        <v>55000</v>
      </c>
      <c r="I24" s="58">
        <f>G24*H24</f>
        <v>1666500</v>
      </c>
      <c r="J24" s="78"/>
    </row>
    <row r="25" spans="1:10" ht="15.75" x14ac:dyDescent="0.25">
      <c r="A25" s="59" t="str">
        <f>IF(B25="","",SUBTOTAL(3,$B$7:B25))</f>
        <v/>
      </c>
      <c r="B25" s="140"/>
      <c r="C25" s="57" t="s">
        <v>8</v>
      </c>
      <c r="D25" s="57">
        <v>2</v>
      </c>
      <c r="E25" s="57">
        <v>16</v>
      </c>
      <c r="F25" s="57" t="s">
        <v>166</v>
      </c>
      <c r="G25" s="50">
        <v>21</v>
      </c>
      <c r="H25" s="58">
        <v>45000</v>
      </c>
      <c r="I25" s="58">
        <f t="shared" ref="I25" si="7">G25*H25</f>
        <v>945000</v>
      </c>
      <c r="J25" s="78"/>
    </row>
    <row r="26" spans="1:10" s="47" customFormat="1" ht="15.75" x14ac:dyDescent="0.2">
      <c r="A26" s="59">
        <f>IF(B26="","",SUBTOTAL(3,$B$7:B26))</f>
        <v>9</v>
      </c>
      <c r="B26" s="169" t="s">
        <v>58</v>
      </c>
      <c r="C26" s="83"/>
      <c r="D26" s="83"/>
      <c r="E26" s="83"/>
      <c r="F26" s="83"/>
      <c r="G26" s="44"/>
      <c r="H26" s="56"/>
      <c r="I26" s="56">
        <f>I27</f>
        <v>5219500</v>
      </c>
      <c r="J26" s="78"/>
    </row>
    <row r="27" spans="1:10" ht="15.75" x14ac:dyDescent="0.25">
      <c r="A27" s="59" t="str">
        <f>IF(B27="","",SUBTOTAL(3,$B$7:B27))</f>
        <v/>
      </c>
      <c r="B27" s="140"/>
      <c r="C27" s="57" t="s">
        <v>8</v>
      </c>
      <c r="D27" s="57">
        <v>1</v>
      </c>
      <c r="E27" s="57">
        <v>11</v>
      </c>
      <c r="F27" s="57" t="s">
        <v>11</v>
      </c>
      <c r="G27" s="50">
        <v>94.9</v>
      </c>
      <c r="H27" s="58">
        <v>55000</v>
      </c>
      <c r="I27" s="58">
        <f>G27*H27</f>
        <v>5219500</v>
      </c>
      <c r="J27" s="78"/>
    </row>
  </sheetData>
  <mergeCells count="4">
    <mergeCell ref="A4:J4"/>
    <mergeCell ref="A1:J1"/>
    <mergeCell ref="A2:J2"/>
    <mergeCell ref="A3:J3"/>
  </mergeCells>
  <pageMargins left="0.17" right="0" top="0.17" bottom="0.17" header="0.17" footer="0.17"/>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34"/>
  <sheetViews>
    <sheetView zoomScale="115" zoomScaleNormal="115" zoomScaleSheetLayoutView="100" workbookViewId="0">
      <pane ySplit="6" topLeftCell="A133" activePane="bottomLeft" state="frozen"/>
      <selection pane="bottomLeft" activeCell="J135" sqref="J135"/>
    </sheetView>
  </sheetViews>
  <sheetFormatPr defaultColWidth="8.85546875" defaultRowHeight="12.75" x14ac:dyDescent="0.25"/>
  <cols>
    <col min="1" max="1" width="4.5703125" style="33" customWidth="1"/>
    <col min="2" max="2" width="14.5703125" style="37" customWidth="1"/>
    <col min="3" max="3" width="9.140625" style="42" bestFit="1" customWidth="1"/>
    <col min="4" max="4" width="21.42578125" style="60" customWidth="1"/>
    <col min="5" max="5" width="15.42578125" style="60" customWidth="1"/>
    <col min="6" max="7" width="8.85546875" style="27"/>
    <col min="8" max="8" width="10.5703125" style="27" customWidth="1"/>
    <col min="9" max="9" width="13.140625" style="27" customWidth="1"/>
    <col min="10" max="10" width="23.140625" style="27" customWidth="1"/>
    <col min="11" max="16384" width="8.85546875" style="27"/>
  </cols>
  <sheetData>
    <row r="1" spans="1:10" ht="25.5" customHeight="1" x14ac:dyDescent="0.25">
      <c r="A1" s="183" t="s">
        <v>366</v>
      </c>
      <c r="B1" s="183"/>
      <c r="C1" s="183"/>
      <c r="D1" s="183"/>
      <c r="E1" s="183"/>
      <c r="F1" s="183"/>
      <c r="G1" s="183"/>
      <c r="H1" s="183"/>
      <c r="I1" s="183"/>
      <c r="J1" s="183"/>
    </row>
    <row r="2" spans="1:10" s="36" customFormat="1" ht="20.100000000000001" customHeight="1" x14ac:dyDescent="0.25">
      <c r="A2" s="184" t="s">
        <v>98</v>
      </c>
      <c r="B2" s="184"/>
      <c r="C2" s="184"/>
      <c r="D2" s="184"/>
      <c r="E2" s="184"/>
      <c r="F2" s="184"/>
      <c r="G2" s="184"/>
      <c r="H2" s="184"/>
      <c r="I2" s="184"/>
      <c r="J2" s="184"/>
    </row>
    <row r="3" spans="1:10" s="36" customFormat="1" ht="20.100000000000001" customHeight="1" x14ac:dyDescent="0.25">
      <c r="A3" s="184" t="s">
        <v>101</v>
      </c>
      <c r="B3" s="184"/>
      <c r="C3" s="184"/>
      <c r="D3" s="184"/>
      <c r="E3" s="184"/>
      <c r="F3" s="184"/>
      <c r="G3" s="184"/>
      <c r="H3" s="184"/>
      <c r="I3" s="184"/>
      <c r="J3" s="184"/>
    </row>
    <row r="4" spans="1:10" s="36" customFormat="1" ht="20.100000000000001" customHeight="1" x14ac:dyDescent="0.25">
      <c r="A4" s="182" t="str">
        <f>'Tong Hop'!A4:L4</f>
        <v>(Kèm theo Quyết định số …../QĐ-UBND ngày …. tháng 01 năm 2024 của UBND huyện Ba Bể)</v>
      </c>
      <c r="B4" s="182"/>
      <c r="C4" s="182"/>
      <c r="D4" s="182"/>
      <c r="E4" s="182"/>
      <c r="F4" s="182"/>
      <c r="G4" s="182"/>
      <c r="H4" s="182"/>
      <c r="I4" s="182"/>
      <c r="J4" s="182"/>
    </row>
    <row r="5" spans="1:10" s="36" customFormat="1" ht="20.100000000000001" customHeight="1" x14ac:dyDescent="0.25">
      <c r="B5" s="79"/>
      <c r="C5" s="79"/>
      <c r="D5" s="61"/>
      <c r="E5" s="61"/>
      <c r="I5" s="79" t="s">
        <v>99</v>
      </c>
    </row>
    <row r="6" spans="1:10" s="29" customFormat="1" ht="44.25" customHeight="1" x14ac:dyDescent="0.25">
      <c r="A6" s="95" t="s">
        <v>0</v>
      </c>
      <c r="B6" s="95" t="s">
        <v>1</v>
      </c>
      <c r="C6" s="95" t="s">
        <v>13</v>
      </c>
      <c r="D6" s="49" t="s">
        <v>14</v>
      </c>
      <c r="E6" s="49" t="s">
        <v>16</v>
      </c>
      <c r="F6" s="49" t="s">
        <v>117</v>
      </c>
      <c r="G6" s="1" t="s">
        <v>15</v>
      </c>
      <c r="H6" s="2" t="s">
        <v>5</v>
      </c>
      <c r="I6" s="2" t="s">
        <v>6</v>
      </c>
      <c r="J6" s="49" t="s">
        <v>7</v>
      </c>
    </row>
    <row r="7" spans="1:10" ht="25.5" x14ac:dyDescent="0.25">
      <c r="A7" s="49">
        <f>IF(B7="","",SUBTOTAL(3,$B$7:B7))</f>
        <v>1</v>
      </c>
      <c r="B7" s="49" t="s">
        <v>65</v>
      </c>
      <c r="C7" s="49" t="str">
        <f t="shared" ref="C7" si="0">IF(B7&lt;&gt;"","T. Nà Tạ","")</f>
        <v>T. Nà Tạ</v>
      </c>
      <c r="D7" s="63"/>
      <c r="E7" s="63"/>
      <c r="F7" s="34"/>
      <c r="G7" s="52"/>
      <c r="H7" s="48"/>
      <c r="I7" s="2">
        <f>SUM(I8:I35)</f>
        <v>71294830.263999999</v>
      </c>
      <c r="J7" s="34"/>
    </row>
    <row r="8" spans="1:10" x14ac:dyDescent="0.25">
      <c r="A8" s="49"/>
      <c r="B8" s="49"/>
      <c r="C8" s="49"/>
      <c r="D8" s="64" t="s">
        <v>61</v>
      </c>
      <c r="E8" s="63"/>
      <c r="F8" s="34" t="s">
        <v>53</v>
      </c>
      <c r="G8" s="52">
        <v>1</v>
      </c>
      <c r="H8" s="53">
        <v>448930</v>
      </c>
      <c r="I8" s="48">
        <f t="shared" ref="I8:I35" si="1">G8*H8</f>
        <v>448930</v>
      </c>
      <c r="J8" s="34"/>
    </row>
    <row r="9" spans="1:10" ht="25.5" x14ac:dyDescent="0.25">
      <c r="A9" s="49"/>
      <c r="B9" s="49"/>
      <c r="C9" s="49"/>
      <c r="D9" s="64" t="s">
        <v>119</v>
      </c>
      <c r="E9" s="63" t="s">
        <v>136</v>
      </c>
      <c r="F9" s="34" t="s">
        <v>10</v>
      </c>
      <c r="G9" s="52">
        <f>2.8*2.3</f>
        <v>6.4399999999999995</v>
      </c>
      <c r="H9" s="53">
        <v>622000</v>
      </c>
      <c r="I9" s="48">
        <f t="shared" si="1"/>
        <v>4005679.9999999995</v>
      </c>
      <c r="J9" s="34"/>
    </row>
    <row r="10" spans="1:10" x14ac:dyDescent="0.25">
      <c r="A10" s="49"/>
      <c r="B10" s="49"/>
      <c r="C10" s="49"/>
      <c r="D10" s="64" t="s">
        <v>120</v>
      </c>
      <c r="E10" s="63" t="s">
        <v>137</v>
      </c>
      <c r="F10" s="34" t="s">
        <v>18</v>
      </c>
      <c r="G10" s="52">
        <f>0.45*0.45*2.7*2</f>
        <v>1.0935000000000001</v>
      </c>
      <c r="H10" s="53">
        <v>2149912</v>
      </c>
      <c r="I10" s="48">
        <f t="shared" si="1"/>
        <v>2350928.7720000003</v>
      </c>
      <c r="J10" s="34"/>
    </row>
    <row r="11" spans="1:10" x14ac:dyDescent="0.25">
      <c r="A11" s="49"/>
      <c r="B11" s="49"/>
      <c r="C11" s="49"/>
      <c r="D11" s="64" t="s">
        <v>121</v>
      </c>
      <c r="E11" s="63" t="s">
        <v>138</v>
      </c>
      <c r="F11" s="34" t="s">
        <v>10</v>
      </c>
      <c r="G11" s="52">
        <f>0.45*2.7 *4*2</f>
        <v>9.7200000000000006</v>
      </c>
      <c r="H11" s="53">
        <v>206973</v>
      </c>
      <c r="I11" s="48">
        <f t="shared" si="1"/>
        <v>2011777.56</v>
      </c>
      <c r="J11" s="34"/>
    </row>
    <row r="12" spans="1:10" ht="25.5" x14ac:dyDescent="0.25">
      <c r="A12" s="49"/>
      <c r="B12" s="49"/>
      <c r="C12" s="49"/>
      <c r="D12" s="64" t="s">
        <v>59</v>
      </c>
      <c r="E12" s="63" t="s">
        <v>139</v>
      </c>
      <c r="F12" s="34" t="s">
        <v>18</v>
      </c>
      <c r="G12" s="52">
        <f>1.55*6.2*0.11+1.55*2.55*0.11</f>
        <v>1.4918750000000001</v>
      </c>
      <c r="H12" s="53">
        <v>1809620</v>
      </c>
      <c r="I12" s="48">
        <f t="shared" si="1"/>
        <v>2699726.8374999999</v>
      </c>
      <c r="J12" s="34"/>
    </row>
    <row r="13" spans="1:10" ht="25.5" x14ac:dyDescent="0.25">
      <c r="A13" s="49"/>
      <c r="B13" s="49"/>
      <c r="C13" s="49"/>
      <c r="D13" s="64" t="s">
        <v>59</v>
      </c>
      <c r="E13" s="63" t="s">
        <v>140</v>
      </c>
      <c r="F13" s="34" t="s">
        <v>18</v>
      </c>
      <c r="G13" s="52">
        <f>0.22*0.2*(6.2 + 2.55)</f>
        <v>0.38500000000000006</v>
      </c>
      <c r="H13" s="53">
        <v>1667922</v>
      </c>
      <c r="I13" s="48">
        <f t="shared" si="1"/>
        <v>642149.97000000009</v>
      </c>
      <c r="J13" s="34"/>
    </row>
    <row r="14" spans="1:10" ht="25.5" x14ac:dyDescent="0.25">
      <c r="A14" s="49"/>
      <c r="B14" s="49"/>
      <c r="C14" s="49"/>
      <c r="D14" s="64" t="s">
        <v>60</v>
      </c>
      <c r="E14" s="63" t="s">
        <v>141</v>
      </c>
      <c r="F14" s="34" t="s">
        <v>10</v>
      </c>
      <c r="G14" s="52">
        <f>6.2*1.55*2 + 2.55*1.55*2</f>
        <v>27.125</v>
      </c>
      <c r="H14" s="53">
        <v>115604</v>
      </c>
      <c r="I14" s="48">
        <f t="shared" si="1"/>
        <v>3135758.5</v>
      </c>
      <c r="J14" s="34"/>
    </row>
    <row r="15" spans="1:10" ht="25.5" x14ac:dyDescent="0.25">
      <c r="A15" s="49"/>
      <c r="B15" s="49"/>
      <c r="C15" s="49"/>
      <c r="D15" s="64" t="s">
        <v>66</v>
      </c>
      <c r="E15" s="63" t="s">
        <v>142</v>
      </c>
      <c r="F15" s="34" t="s">
        <v>18</v>
      </c>
      <c r="G15" s="52">
        <f>(2.55+2.8+6.22)*0.4*0.8</f>
        <v>3.7024000000000004</v>
      </c>
      <c r="H15" s="48">
        <v>1258528</v>
      </c>
      <c r="I15" s="48">
        <f t="shared" si="1"/>
        <v>4659574.0672000004</v>
      </c>
      <c r="J15" s="34"/>
    </row>
    <row r="16" spans="1:10" ht="25.5" x14ac:dyDescent="0.25">
      <c r="A16" s="49"/>
      <c r="B16" s="49"/>
      <c r="C16" s="49"/>
      <c r="D16" s="64" t="s">
        <v>59</v>
      </c>
      <c r="E16" s="63" t="s">
        <v>143</v>
      </c>
      <c r="F16" s="34" t="s">
        <v>18</v>
      </c>
      <c r="G16" s="52">
        <f>9*1.1*0.11</f>
        <v>1.089</v>
      </c>
      <c r="H16" s="53">
        <v>1809620</v>
      </c>
      <c r="I16" s="48">
        <f t="shared" si="1"/>
        <v>1970676.18</v>
      </c>
      <c r="J16" s="34"/>
    </row>
    <row r="17" spans="1:10" x14ac:dyDescent="0.25">
      <c r="A17" s="49"/>
      <c r="B17" s="49"/>
      <c r="C17" s="49"/>
      <c r="D17" s="64" t="s">
        <v>60</v>
      </c>
      <c r="E17" s="63" t="s">
        <v>144</v>
      </c>
      <c r="F17" s="34" t="s">
        <v>10</v>
      </c>
      <c r="G17" s="52">
        <f>9*1.1*2</f>
        <v>19.8</v>
      </c>
      <c r="H17" s="53">
        <v>115604</v>
      </c>
      <c r="I17" s="48">
        <f t="shared" si="1"/>
        <v>2288959.2000000002</v>
      </c>
      <c r="J17" s="34"/>
    </row>
    <row r="18" spans="1:10" ht="25.5" x14ac:dyDescent="0.25">
      <c r="A18" s="49"/>
      <c r="B18" s="49"/>
      <c r="C18" s="49"/>
      <c r="D18" s="64" t="s">
        <v>66</v>
      </c>
      <c r="E18" s="63" t="s">
        <v>145</v>
      </c>
      <c r="F18" s="34" t="s">
        <v>18</v>
      </c>
      <c r="G18" s="52">
        <f>9*0.4*0.8</f>
        <v>2.8800000000000003</v>
      </c>
      <c r="H18" s="48">
        <v>1258528</v>
      </c>
      <c r="I18" s="48">
        <f t="shared" si="1"/>
        <v>3624560.6400000006</v>
      </c>
      <c r="J18" s="34"/>
    </row>
    <row r="19" spans="1:10" ht="25.5" x14ac:dyDescent="0.25">
      <c r="A19" s="49"/>
      <c r="B19" s="49"/>
      <c r="C19" s="49"/>
      <c r="D19" s="64" t="s">
        <v>107</v>
      </c>
      <c r="E19" s="63" t="s">
        <v>146</v>
      </c>
      <c r="F19" s="34" t="s">
        <v>10</v>
      </c>
      <c r="G19" s="52">
        <f>(9+2.55+6.22)*1</f>
        <v>17.77</v>
      </c>
      <c r="H19" s="53">
        <v>327000</v>
      </c>
      <c r="I19" s="48">
        <f t="shared" si="1"/>
        <v>5810790</v>
      </c>
      <c r="J19" s="34"/>
    </row>
    <row r="20" spans="1:10" x14ac:dyDescent="0.25">
      <c r="A20" s="49"/>
      <c r="B20" s="49"/>
      <c r="C20" s="49"/>
      <c r="D20" s="64" t="s">
        <v>62</v>
      </c>
      <c r="E20" s="63"/>
      <c r="F20" s="34"/>
      <c r="G20" s="52"/>
      <c r="H20" s="48"/>
      <c r="I20" s="48">
        <f t="shared" si="1"/>
        <v>0</v>
      </c>
      <c r="J20" s="34"/>
    </row>
    <row r="21" spans="1:10" x14ac:dyDescent="0.25">
      <c r="A21" s="49"/>
      <c r="B21" s="49"/>
      <c r="C21" s="49"/>
      <c r="D21" s="64" t="s">
        <v>122</v>
      </c>
      <c r="E21" s="63"/>
      <c r="F21" s="34" t="s">
        <v>17</v>
      </c>
      <c r="G21" s="52">
        <v>30</v>
      </c>
      <c r="H21" s="48">
        <v>104000</v>
      </c>
      <c r="I21" s="48">
        <f t="shared" si="1"/>
        <v>3120000</v>
      </c>
      <c r="J21" s="34"/>
    </row>
    <row r="22" spans="1:10" x14ac:dyDescent="0.25">
      <c r="A22" s="49"/>
      <c r="B22" s="49"/>
      <c r="C22" s="49"/>
      <c r="D22" s="64" t="s">
        <v>123</v>
      </c>
      <c r="E22" s="63"/>
      <c r="F22" s="34" t="s">
        <v>17</v>
      </c>
      <c r="G22" s="52">
        <v>10</v>
      </c>
      <c r="H22" s="48">
        <v>425000</v>
      </c>
      <c r="I22" s="48">
        <f t="shared" si="1"/>
        <v>4250000</v>
      </c>
      <c r="J22" s="34"/>
    </row>
    <row r="23" spans="1:10" ht="25.5" x14ac:dyDescent="0.25">
      <c r="A23" s="49"/>
      <c r="B23" s="49"/>
      <c r="C23" s="49"/>
      <c r="D23" s="64" t="s">
        <v>124</v>
      </c>
      <c r="E23" s="63" t="s">
        <v>147</v>
      </c>
      <c r="F23" s="34" t="s">
        <v>18</v>
      </c>
      <c r="G23" s="52">
        <f>0.3*0.2*0.2*4</f>
        <v>4.8000000000000001E-2</v>
      </c>
      <c r="H23" s="53">
        <v>2365264</v>
      </c>
      <c r="I23" s="48">
        <f t="shared" si="1"/>
        <v>113532.67200000001</v>
      </c>
      <c r="J23" s="34"/>
    </row>
    <row r="24" spans="1:10" ht="25.5" x14ac:dyDescent="0.25">
      <c r="A24" s="49"/>
      <c r="B24" s="49"/>
      <c r="C24" s="49"/>
      <c r="D24" s="64" t="s">
        <v>125</v>
      </c>
      <c r="E24" s="63" t="s">
        <v>148</v>
      </c>
      <c r="F24" s="34" t="s">
        <v>18</v>
      </c>
      <c r="G24" s="52">
        <f>0.77*0.8*0.11*2</f>
        <v>0.13552000000000003</v>
      </c>
      <c r="H24" s="53">
        <v>1714308</v>
      </c>
      <c r="I24" s="48">
        <f t="shared" si="1"/>
        <v>232323.02016000004</v>
      </c>
      <c r="J24" s="34"/>
    </row>
    <row r="25" spans="1:10" x14ac:dyDescent="0.25">
      <c r="A25" s="49"/>
      <c r="B25" s="49"/>
      <c r="C25" s="49"/>
      <c r="D25" s="64" t="s">
        <v>126</v>
      </c>
      <c r="E25" s="63" t="s">
        <v>149</v>
      </c>
      <c r="F25" s="34" t="s">
        <v>18</v>
      </c>
      <c r="G25" s="52">
        <f>1.2*0.9*0.1</f>
        <v>0.10800000000000001</v>
      </c>
      <c r="H25" s="53">
        <v>1766295</v>
      </c>
      <c r="I25" s="48">
        <f t="shared" si="1"/>
        <v>190759.86000000002</v>
      </c>
      <c r="J25" s="34"/>
    </row>
    <row r="26" spans="1:10" ht="15" x14ac:dyDescent="0.25">
      <c r="A26" s="49"/>
      <c r="B26" s="49"/>
      <c r="C26" s="49"/>
      <c r="D26" s="64" t="s">
        <v>127</v>
      </c>
      <c r="E26" s="69" t="s">
        <v>150</v>
      </c>
      <c r="F26" s="34" t="s">
        <v>10</v>
      </c>
      <c r="G26" s="54">
        <f>1.2*0.9</f>
        <v>1.08</v>
      </c>
      <c r="H26" s="53">
        <v>189266</v>
      </c>
      <c r="I26" s="48">
        <f t="shared" si="1"/>
        <v>204407.28000000003</v>
      </c>
      <c r="J26" s="34"/>
    </row>
    <row r="27" spans="1:10" ht="25.5" x14ac:dyDescent="0.25">
      <c r="A27" s="49"/>
      <c r="B27" s="49"/>
      <c r="C27" s="49"/>
      <c r="D27" s="64" t="s">
        <v>125</v>
      </c>
      <c r="E27" s="63" t="s">
        <v>151</v>
      </c>
      <c r="F27" s="34" t="s">
        <v>18</v>
      </c>
      <c r="G27" s="52">
        <f>0.3*0.55*0.11*2</f>
        <v>3.6299999999999999E-2</v>
      </c>
      <c r="H27" s="53">
        <v>1714308</v>
      </c>
      <c r="I27" s="48">
        <f t="shared" si="1"/>
        <v>62229.380399999995</v>
      </c>
      <c r="J27" s="34"/>
    </row>
    <row r="28" spans="1:10" ht="25.5" x14ac:dyDescent="0.25">
      <c r="A28" s="49"/>
      <c r="B28" s="49"/>
      <c r="C28" s="49"/>
      <c r="D28" s="64" t="s">
        <v>128</v>
      </c>
      <c r="E28" s="63" t="s">
        <v>152</v>
      </c>
      <c r="F28" s="34" t="s">
        <v>18</v>
      </c>
      <c r="G28" s="52">
        <f>0.47*0.75*0.6+0.37*0.67*1.1</f>
        <v>0.48419000000000001</v>
      </c>
      <c r="H28" s="53">
        <v>2075284</v>
      </c>
      <c r="I28" s="48">
        <f t="shared" si="1"/>
        <v>1004831.7599600001</v>
      </c>
      <c r="J28" s="34"/>
    </row>
    <row r="29" spans="1:10" ht="25.5" x14ac:dyDescent="0.25">
      <c r="A29" s="49"/>
      <c r="B29" s="49"/>
      <c r="C29" s="49"/>
      <c r="D29" s="64" t="s">
        <v>129</v>
      </c>
      <c r="E29" s="63" t="s">
        <v>153</v>
      </c>
      <c r="F29" s="34" t="s">
        <v>18</v>
      </c>
      <c r="G29" s="52">
        <f>0.35*0.35*2.3-3.14*0.05^2*2.3</f>
        <v>0.26369499999999996</v>
      </c>
      <c r="H29" s="53">
        <v>2075284</v>
      </c>
      <c r="I29" s="48">
        <f t="shared" si="1"/>
        <v>547242.01437999995</v>
      </c>
      <c r="J29" s="34"/>
    </row>
    <row r="30" spans="1:10" ht="25.5" x14ac:dyDescent="0.25">
      <c r="A30" s="49"/>
      <c r="B30" s="49"/>
      <c r="C30" s="49"/>
      <c r="D30" s="64" t="s">
        <v>130</v>
      </c>
      <c r="E30" s="63" t="s">
        <v>154</v>
      </c>
      <c r="F30" s="34" t="s">
        <v>10</v>
      </c>
      <c r="G30" s="52">
        <f>8.5*1.8</f>
        <v>15.3</v>
      </c>
      <c r="H30" s="53">
        <v>171270</v>
      </c>
      <c r="I30" s="48">
        <f t="shared" si="1"/>
        <v>2620431</v>
      </c>
      <c r="J30" s="34"/>
    </row>
    <row r="31" spans="1:10" ht="25.5" x14ac:dyDescent="0.25">
      <c r="A31" s="49"/>
      <c r="B31" s="49"/>
      <c r="C31" s="49"/>
      <c r="D31" s="64" t="s">
        <v>131</v>
      </c>
      <c r="E31" s="63" t="s">
        <v>155</v>
      </c>
      <c r="F31" s="34" t="s">
        <v>10</v>
      </c>
      <c r="G31" s="52">
        <f>1.6*2.7+2.4*3.5 + 6*2</f>
        <v>24.72</v>
      </c>
      <c r="H31" s="53">
        <v>197022</v>
      </c>
      <c r="I31" s="48">
        <f t="shared" si="1"/>
        <v>4870383.84</v>
      </c>
      <c r="J31" s="34"/>
    </row>
    <row r="32" spans="1:10" x14ac:dyDescent="0.25">
      <c r="A32" s="49"/>
      <c r="B32" s="49"/>
      <c r="C32" s="49"/>
      <c r="D32" s="64" t="s">
        <v>132</v>
      </c>
      <c r="E32" s="63" t="s">
        <v>156</v>
      </c>
      <c r="F32" s="34" t="s">
        <v>10</v>
      </c>
      <c r="G32" s="52">
        <f>4.2*4</f>
        <v>16.8</v>
      </c>
      <c r="H32" s="53">
        <v>133340</v>
      </c>
      <c r="I32" s="48">
        <f t="shared" si="1"/>
        <v>2240112</v>
      </c>
      <c r="J32" s="34"/>
    </row>
    <row r="33" spans="1:10" ht="25.5" x14ac:dyDescent="0.25">
      <c r="A33" s="49"/>
      <c r="B33" s="49"/>
      <c r="C33" s="49"/>
      <c r="D33" s="64" t="s">
        <v>133</v>
      </c>
      <c r="E33" s="63" t="s">
        <v>158</v>
      </c>
      <c r="F33" s="34" t="s">
        <v>18</v>
      </c>
      <c r="G33" s="52">
        <f>3.14*(1.5/2)*(1.5/2)*8</f>
        <v>14.129999999999999</v>
      </c>
      <c r="H33" s="53">
        <v>544900</v>
      </c>
      <c r="I33" s="48">
        <f t="shared" si="1"/>
        <v>7699436.9999999991</v>
      </c>
      <c r="J33" s="34"/>
    </row>
    <row r="34" spans="1:10" ht="25.5" x14ac:dyDescent="0.25">
      <c r="A34" s="49"/>
      <c r="B34" s="49"/>
      <c r="C34" s="49"/>
      <c r="D34" s="64" t="s">
        <v>134</v>
      </c>
      <c r="E34" s="63" t="s">
        <v>159</v>
      </c>
      <c r="F34" s="34" t="s">
        <v>18</v>
      </c>
      <c r="G34" s="52">
        <f>3.14*8*(0.75*0.75-0.65*0.65)</f>
        <v>3.516799999999999</v>
      </c>
      <c r="H34" s="53">
        <v>2770162</v>
      </c>
      <c r="I34" s="48">
        <f t="shared" si="1"/>
        <v>9742105.721599998</v>
      </c>
      <c r="J34" s="34"/>
    </row>
    <row r="35" spans="1:10" x14ac:dyDescent="0.25">
      <c r="A35" s="49"/>
      <c r="B35" s="49"/>
      <c r="C35" s="49"/>
      <c r="D35" s="64" t="s">
        <v>135</v>
      </c>
      <c r="E35" s="63" t="s">
        <v>157</v>
      </c>
      <c r="F35" s="34" t="s">
        <v>18</v>
      </c>
      <c r="G35" s="52">
        <f>3.1*1.9*0.07</f>
        <v>0.4123</v>
      </c>
      <c r="H35" s="53">
        <v>1813056</v>
      </c>
      <c r="I35" s="48">
        <f t="shared" si="1"/>
        <v>747522.98880000005</v>
      </c>
      <c r="J35" s="34"/>
    </row>
    <row r="36" spans="1:10" s="32" customFormat="1" x14ac:dyDescent="0.25">
      <c r="A36" s="49">
        <f>IF(B36="","",SUBTOTAL(3,$B$7:B36))</f>
        <v>2</v>
      </c>
      <c r="B36" s="49" t="s">
        <v>40</v>
      </c>
      <c r="C36" s="49" t="str">
        <f t="shared" ref="C36:C37" si="2">IF(B36&lt;&gt;"","T. Nà Tạ","")</f>
        <v>T. Nà Tạ</v>
      </c>
      <c r="D36" s="62"/>
      <c r="E36" s="62"/>
      <c r="F36" s="49"/>
      <c r="G36" s="1"/>
      <c r="H36" s="2"/>
      <c r="I36" s="2">
        <f>SUM(I37:I39)</f>
        <v>5531172.7680000002</v>
      </c>
      <c r="J36" s="34"/>
    </row>
    <row r="37" spans="1:10" ht="38.25" x14ac:dyDescent="0.25">
      <c r="A37" s="49" t="str">
        <f>IF(B37="","",SUBTOTAL(3,$B$7:B37))</f>
        <v/>
      </c>
      <c r="B37" s="49"/>
      <c r="C37" s="49" t="str">
        <f t="shared" si="2"/>
        <v/>
      </c>
      <c r="D37" s="64" t="s">
        <v>118</v>
      </c>
      <c r="E37" s="63" t="s">
        <v>49</v>
      </c>
      <c r="F37" s="34" t="s">
        <v>18</v>
      </c>
      <c r="G37" s="52">
        <f>0.1*0.1*1.8*9</f>
        <v>0.16200000000000006</v>
      </c>
      <c r="H37" s="48">
        <v>2365264</v>
      </c>
      <c r="I37" s="48">
        <f>G37*H37</f>
        <v>383172.76800000016</v>
      </c>
      <c r="J37" s="34"/>
    </row>
    <row r="38" spans="1:10" x14ac:dyDescent="0.25">
      <c r="A38" s="49" t="str">
        <f>IF(B38="","",SUBTOTAL(3,$B$7:B38))</f>
        <v/>
      </c>
      <c r="B38" s="49"/>
      <c r="C38" s="49" t="str">
        <f t="shared" ref="C38:C59" si="3">IF(B38&lt;&gt;"","T. Nà Tạ","")</f>
        <v/>
      </c>
      <c r="D38" s="64" t="s">
        <v>108</v>
      </c>
      <c r="E38" s="63" t="s">
        <v>50</v>
      </c>
      <c r="F38" s="34" t="s">
        <v>10</v>
      </c>
      <c r="G38" s="52">
        <f>1.5*5.4</f>
        <v>8.1000000000000014</v>
      </c>
      <c r="H38" s="48">
        <v>30000</v>
      </c>
      <c r="I38" s="48">
        <f>G38*H38</f>
        <v>243000.00000000003</v>
      </c>
      <c r="J38" s="34"/>
    </row>
    <row r="39" spans="1:10" ht="25.5" x14ac:dyDescent="0.25">
      <c r="A39" s="49" t="str">
        <f>IF(B39="","",SUBTOTAL(3,$B$7:B39))</f>
        <v/>
      </c>
      <c r="B39" s="49"/>
      <c r="C39" s="49" t="str">
        <f t="shared" si="3"/>
        <v/>
      </c>
      <c r="D39" s="64" t="s">
        <v>109</v>
      </c>
      <c r="E39" s="63" t="s">
        <v>51</v>
      </c>
      <c r="F39" s="34" t="s">
        <v>10</v>
      </c>
      <c r="G39" s="52">
        <f>10*1.5</f>
        <v>15</v>
      </c>
      <c r="H39" s="48">
        <v>327000</v>
      </c>
      <c r="I39" s="48">
        <f>G39*H39</f>
        <v>4905000</v>
      </c>
      <c r="J39" s="34"/>
    </row>
    <row r="40" spans="1:10" s="32" customFormat="1" x14ac:dyDescent="0.25">
      <c r="A40" s="49">
        <f>IF(B40="","",SUBTOTAL(3,$B$7:B40))</f>
        <v>3</v>
      </c>
      <c r="B40" s="49" t="s">
        <v>165</v>
      </c>
      <c r="C40" s="49" t="str">
        <f t="shared" si="3"/>
        <v>T. Nà Tạ</v>
      </c>
      <c r="D40" s="62"/>
      <c r="E40" s="62"/>
      <c r="F40" s="49"/>
      <c r="G40" s="1"/>
      <c r="H40" s="2"/>
      <c r="I40" s="2">
        <f>SUM(I41:I59)</f>
        <v>181538714.73630002</v>
      </c>
      <c r="J40" s="34"/>
    </row>
    <row r="41" spans="1:10" ht="38.25" x14ac:dyDescent="0.25">
      <c r="A41" s="49" t="str">
        <f>IF(B41="","",SUBTOTAL(3,$B$7:B41))</f>
        <v/>
      </c>
      <c r="B41" s="49"/>
      <c r="C41" s="49" t="str">
        <f t="shared" si="3"/>
        <v/>
      </c>
      <c r="D41" s="62" t="s">
        <v>167</v>
      </c>
      <c r="E41" s="63"/>
      <c r="F41" s="34"/>
      <c r="G41" s="52"/>
      <c r="H41" s="48"/>
      <c r="I41" s="48"/>
      <c r="J41" s="34"/>
    </row>
    <row r="42" spans="1:10" x14ac:dyDescent="0.25">
      <c r="A42" s="49" t="str">
        <f>IF(B42="","",SUBTOTAL(3,$B$7:B42))</f>
        <v/>
      </c>
      <c r="B42" s="49"/>
      <c r="C42" s="49" t="str">
        <f t="shared" si="3"/>
        <v/>
      </c>
      <c r="D42" s="64" t="s">
        <v>168</v>
      </c>
      <c r="E42" s="63" t="s">
        <v>169</v>
      </c>
      <c r="F42" s="34" t="s">
        <v>10</v>
      </c>
      <c r="G42" s="52">
        <f>7.8*8</f>
        <v>62.4</v>
      </c>
      <c r="H42" s="48">
        <v>781490</v>
      </c>
      <c r="I42" s="48">
        <f>G42*H42</f>
        <v>48764976</v>
      </c>
      <c r="J42" s="34"/>
    </row>
    <row r="43" spans="1:10" ht="98.25" customHeight="1" x14ac:dyDescent="0.25">
      <c r="A43" s="49" t="str">
        <f>IF(B43="","",SUBTOTAL(3,$B$7:B43))</f>
        <v/>
      </c>
      <c r="B43" s="49"/>
      <c r="C43" s="49" t="str">
        <f t="shared" si="3"/>
        <v/>
      </c>
      <c r="D43" s="64" t="s">
        <v>170</v>
      </c>
      <c r="E43" s="63" t="s">
        <v>171</v>
      </c>
      <c r="F43" s="34" t="s">
        <v>10</v>
      </c>
      <c r="G43" s="52">
        <f>0.9*1.95+2.4*2.2+3.6*2.1+1.5*2.2+2.5*2.1+0.67*1.83+1.26*2.2+1.6*2.35+1.05*2.4+0.6*2+1.35*1.7+2.4*2.3+4.5*2.2+0.55*2+1.2*2+2.5*2+1.4*2.2</f>
        <v>63.918100000000003</v>
      </c>
      <c r="H43" s="48">
        <v>217183</v>
      </c>
      <c r="I43" s="48">
        <f>G43*H43</f>
        <v>13881924.712300001</v>
      </c>
      <c r="J43" s="34"/>
    </row>
    <row r="44" spans="1:10" ht="25.5" x14ac:dyDescent="0.25">
      <c r="A44" s="49" t="str">
        <f>IF(B44="","",SUBTOTAL(3,$B$7:B44))</f>
        <v/>
      </c>
      <c r="B44" s="49"/>
      <c r="C44" s="49" t="str">
        <f t="shared" si="3"/>
        <v/>
      </c>
      <c r="D44" s="64" t="s">
        <v>172</v>
      </c>
      <c r="E44" s="63" t="s">
        <v>173</v>
      </c>
      <c r="F44" s="34" t="s">
        <v>10</v>
      </c>
      <c r="G44" s="52">
        <f>3.9*3.5+2*3</f>
        <v>19.649999999999999</v>
      </c>
      <c r="H44" s="48">
        <v>180000</v>
      </c>
      <c r="I44" s="48">
        <f>G44*H44</f>
        <v>3536999.9999999995</v>
      </c>
      <c r="J44" s="34"/>
    </row>
    <row r="45" spans="1:10" ht="25.5" x14ac:dyDescent="0.25">
      <c r="A45" s="49" t="str">
        <f>IF(B45="","",SUBTOTAL(3,$B$7:B45))</f>
        <v/>
      </c>
      <c r="B45" s="49"/>
      <c r="C45" s="49" t="str">
        <f t="shared" si="3"/>
        <v/>
      </c>
      <c r="D45" s="64" t="s">
        <v>174</v>
      </c>
      <c r="E45" s="63" t="s">
        <v>175</v>
      </c>
      <c r="F45" s="34" t="s">
        <v>10</v>
      </c>
      <c r="G45" s="52">
        <f>1.6*2+1.3*1.95+0.8*1.8+2.7*2</f>
        <v>12.575000000000001</v>
      </c>
      <c r="H45" s="48">
        <v>25000</v>
      </c>
      <c r="I45" s="48">
        <f>G45*H45</f>
        <v>314375</v>
      </c>
      <c r="J45" s="34"/>
    </row>
    <row r="46" spans="1:10" ht="38.25" x14ac:dyDescent="0.25">
      <c r="A46" s="49" t="str">
        <f>IF(B46="","",SUBTOTAL(3,$B$7:B46))</f>
        <v/>
      </c>
      <c r="B46" s="49"/>
      <c r="C46" s="49" t="str">
        <f t="shared" si="3"/>
        <v/>
      </c>
      <c r="D46" s="64" t="s">
        <v>176</v>
      </c>
      <c r="E46" s="63" t="s">
        <v>177</v>
      </c>
      <c r="F46" s="34" t="s">
        <v>10</v>
      </c>
      <c r="G46" s="52">
        <f>0.9*2.15</f>
        <v>1.9350000000000001</v>
      </c>
      <c r="H46" s="48">
        <v>700000</v>
      </c>
      <c r="I46" s="48">
        <f>G46*H46</f>
        <v>1354500</v>
      </c>
      <c r="J46" s="34"/>
    </row>
    <row r="47" spans="1:10" ht="25.5" x14ac:dyDescent="0.25">
      <c r="A47" s="49" t="str">
        <f>IF(B47="","",SUBTOTAL(3,$B$7:B47))</f>
        <v/>
      </c>
      <c r="B47" s="49"/>
      <c r="C47" s="49" t="str">
        <f t="shared" si="3"/>
        <v/>
      </c>
      <c r="D47" s="64" t="s">
        <v>178</v>
      </c>
      <c r="E47" s="63" t="s">
        <v>179</v>
      </c>
      <c r="F47" s="34" t="s">
        <v>10</v>
      </c>
      <c r="G47" s="52">
        <f>6*7.8</f>
        <v>46.8</v>
      </c>
      <c r="H47" s="48">
        <v>240000</v>
      </c>
      <c r="I47" s="48">
        <f t="shared" ref="I47:I52" si="4">G47*H47</f>
        <v>11232000</v>
      </c>
      <c r="J47" s="34"/>
    </row>
    <row r="48" spans="1:10" ht="25.5" x14ac:dyDescent="0.25">
      <c r="A48" s="49" t="str">
        <f>IF(B48="","",SUBTOTAL(3,$B$7:B48))</f>
        <v/>
      </c>
      <c r="B48" s="49"/>
      <c r="C48" s="49" t="str">
        <f t="shared" si="3"/>
        <v/>
      </c>
      <c r="D48" s="64" t="s">
        <v>180</v>
      </c>
      <c r="E48" s="63" t="s">
        <v>181</v>
      </c>
      <c r="F48" s="34" t="s">
        <v>18</v>
      </c>
      <c r="G48" s="52">
        <f>0.4*0.4*(8+7.8+8+7.8)</f>
        <v>5.0560000000000009</v>
      </c>
      <c r="H48" s="48">
        <v>1714308</v>
      </c>
      <c r="I48" s="48">
        <f t="shared" si="4"/>
        <v>8667541.2480000015</v>
      </c>
      <c r="J48" s="34"/>
    </row>
    <row r="49" spans="1:10" ht="51" x14ac:dyDescent="0.25">
      <c r="A49" s="49" t="str">
        <f>IF(B49="","",SUBTOTAL(3,$B$7:B49))</f>
        <v/>
      </c>
      <c r="B49" s="49"/>
      <c r="C49" s="49" t="str">
        <f t="shared" si="3"/>
        <v/>
      </c>
      <c r="D49" s="64" t="s">
        <v>182</v>
      </c>
      <c r="E49" s="63" t="s">
        <v>183</v>
      </c>
      <c r="F49" s="34" t="s">
        <v>18</v>
      </c>
      <c r="G49" s="52">
        <f>(2.5*7*(0.9+0.4)/2)+(6*1.7*(0.9+0.4)/2)+(7*1.2*(0.9+0.4)/2)</f>
        <v>23.465</v>
      </c>
      <c r="H49" s="48">
        <v>1714308</v>
      </c>
      <c r="I49" s="48">
        <f t="shared" si="4"/>
        <v>40226237.219999999</v>
      </c>
      <c r="J49" s="34"/>
    </row>
    <row r="50" spans="1:10" x14ac:dyDescent="0.25">
      <c r="A50" s="49" t="str">
        <f>IF(B50="","",SUBTOTAL(3,$B$7:B50))</f>
        <v/>
      </c>
      <c r="B50" s="49"/>
      <c r="C50" s="49" t="str">
        <f t="shared" si="3"/>
        <v/>
      </c>
      <c r="D50" s="64" t="s">
        <v>184</v>
      </c>
      <c r="E50" s="63" t="s">
        <v>185</v>
      </c>
      <c r="F50" s="34" t="s">
        <v>18</v>
      </c>
      <c r="G50" s="52">
        <f>7.8*8*0.07</f>
        <v>4.3680000000000003</v>
      </c>
      <c r="H50" s="48">
        <v>1421772</v>
      </c>
      <c r="I50" s="48">
        <f t="shared" si="4"/>
        <v>6210300.0960000008</v>
      </c>
      <c r="J50" s="34"/>
    </row>
    <row r="51" spans="1:10" ht="25.5" x14ac:dyDescent="0.25">
      <c r="A51" s="49" t="str">
        <f>IF(B51="","",SUBTOTAL(3,$B$7:B51))</f>
        <v/>
      </c>
      <c r="B51" s="49"/>
      <c r="C51" s="49" t="str">
        <f t="shared" si="3"/>
        <v/>
      </c>
      <c r="D51" s="64" t="s">
        <v>186</v>
      </c>
      <c r="E51" s="63" t="s">
        <v>187</v>
      </c>
      <c r="F51" s="34" t="s">
        <v>10</v>
      </c>
      <c r="G51" s="52">
        <f>4*2.2</f>
        <v>8.8000000000000007</v>
      </c>
      <c r="H51" s="48">
        <v>133340</v>
      </c>
      <c r="I51" s="48">
        <f t="shared" si="4"/>
        <v>1173392</v>
      </c>
      <c r="J51" s="34"/>
    </row>
    <row r="52" spans="1:10" ht="38.25" x14ac:dyDescent="0.25">
      <c r="A52" s="49" t="str">
        <f>IF(B52="","",SUBTOTAL(3,$B$7:B52))</f>
        <v/>
      </c>
      <c r="B52" s="49"/>
      <c r="C52" s="49" t="str">
        <f t="shared" si="3"/>
        <v/>
      </c>
      <c r="D52" s="64" t="s">
        <v>188</v>
      </c>
      <c r="E52" s="63" t="s">
        <v>189</v>
      </c>
      <c r="F52" s="34" t="s">
        <v>10</v>
      </c>
      <c r="G52" s="52">
        <f>2.1*1.9</f>
        <v>3.9899999999999998</v>
      </c>
      <c r="H52" s="48">
        <v>52154</v>
      </c>
      <c r="I52" s="48">
        <f t="shared" si="4"/>
        <v>208094.46</v>
      </c>
      <c r="J52" s="34"/>
    </row>
    <row r="53" spans="1:10" x14ac:dyDescent="0.25">
      <c r="A53" s="49" t="str">
        <f>IF(B53="","",SUBTOTAL(3,$B$7:B53))</f>
        <v/>
      </c>
      <c r="B53" s="49"/>
      <c r="C53" s="49" t="str">
        <f t="shared" si="3"/>
        <v/>
      </c>
      <c r="D53" s="64" t="s">
        <v>62</v>
      </c>
      <c r="E53" s="63"/>
      <c r="F53" s="34"/>
      <c r="G53" s="52"/>
      <c r="H53" s="48"/>
      <c r="I53" s="48"/>
      <c r="J53" s="34"/>
    </row>
    <row r="54" spans="1:10" x14ac:dyDescent="0.25">
      <c r="A54" s="49" t="str">
        <f>IF(B54="","",SUBTOTAL(3,$B$7:B54))</f>
        <v/>
      </c>
      <c r="B54" s="49"/>
      <c r="C54" s="49" t="str">
        <f t="shared" si="3"/>
        <v/>
      </c>
      <c r="D54" s="64" t="s">
        <v>190</v>
      </c>
      <c r="E54" s="63"/>
      <c r="F54" s="34" t="s">
        <v>17</v>
      </c>
      <c r="G54" s="52">
        <v>23</v>
      </c>
      <c r="H54" s="48">
        <v>425000</v>
      </c>
      <c r="I54" s="48">
        <f t="shared" ref="I54:I59" si="5">G54*H54</f>
        <v>9775000</v>
      </c>
      <c r="J54" s="34"/>
    </row>
    <row r="55" spans="1:10" x14ac:dyDescent="0.25">
      <c r="A55" s="49" t="str">
        <f>IF(B55="","",SUBTOTAL(3,$B$7:B55))</f>
        <v/>
      </c>
      <c r="B55" s="49"/>
      <c r="C55" s="49" t="str">
        <f t="shared" si="3"/>
        <v/>
      </c>
      <c r="D55" s="64" t="s">
        <v>191</v>
      </c>
      <c r="E55" s="63"/>
      <c r="F55" s="34" t="s">
        <v>17</v>
      </c>
      <c r="G55" s="52">
        <v>7</v>
      </c>
      <c r="H55" s="48">
        <v>104000</v>
      </c>
      <c r="I55" s="48">
        <f t="shared" si="5"/>
        <v>728000</v>
      </c>
      <c r="J55" s="34"/>
    </row>
    <row r="56" spans="1:10" ht="25.5" x14ac:dyDescent="0.25">
      <c r="A56" s="49" t="str">
        <f>IF(B56="","",SUBTOTAL(3,$B$7:B56))</f>
        <v/>
      </c>
      <c r="B56" s="49"/>
      <c r="C56" s="49" t="str">
        <f t="shared" si="3"/>
        <v/>
      </c>
      <c r="D56" s="64" t="s">
        <v>192</v>
      </c>
      <c r="E56" s="63" t="s">
        <v>193</v>
      </c>
      <c r="F56" s="34" t="s">
        <v>10</v>
      </c>
      <c r="G56" s="52">
        <f>42*1.2</f>
        <v>50.4</v>
      </c>
      <c r="H56" s="48">
        <v>302000</v>
      </c>
      <c r="I56" s="48">
        <f t="shared" si="5"/>
        <v>15220800</v>
      </c>
      <c r="J56" s="34"/>
    </row>
    <row r="57" spans="1:10" ht="25.5" x14ac:dyDescent="0.25">
      <c r="A57" s="49" t="str">
        <f>IF(B57="","",SUBTOTAL(3,$B$7:B57))</f>
        <v/>
      </c>
      <c r="B57" s="49"/>
      <c r="C57" s="49" t="str">
        <f t="shared" si="3"/>
        <v/>
      </c>
      <c r="D57" s="64" t="s">
        <v>194</v>
      </c>
      <c r="E57" s="63" t="s">
        <v>195</v>
      </c>
      <c r="F57" s="34" t="s">
        <v>10</v>
      </c>
      <c r="G57" s="52">
        <f>42*0.8</f>
        <v>33.6</v>
      </c>
      <c r="H57" s="48">
        <v>280000</v>
      </c>
      <c r="I57" s="48">
        <f t="shared" si="5"/>
        <v>9408000</v>
      </c>
      <c r="J57" s="34"/>
    </row>
    <row r="58" spans="1:10" x14ac:dyDescent="0.25">
      <c r="A58" s="49" t="str">
        <f>IF(B58="","",SUBTOTAL(3,$B$7:B58))</f>
        <v/>
      </c>
      <c r="B58" s="49"/>
      <c r="C58" s="49" t="str">
        <f t="shared" si="3"/>
        <v/>
      </c>
      <c r="D58" s="64" t="s">
        <v>196</v>
      </c>
      <c r="E58" s="63" t="s">
        <v>197</v>
      </c>
      <c r="F58" s="34" t="s">
        <v>18</v>
      </c>
      <c r="G58" s="52">
        <f>1.5*1.6*2</f>
        <v>4.8000000000000007</v>
      </c>
      <c r="H58" s="48">
        <v>2218650</v>
      </c>
      <c r="I58" s="48">
        <f t="shared" si="5"/>
        <v>10649520.000000002</v>
      </c>
      <c r="J58" s="34"/>
    </row>
    <row r="59" spans="1:10" x14ac:dyDescent="0.25">
      <c r="A59" s="49" t="str">
        <f>IF(B59="","",SUBTOTAL(3,$B$7:B61))</f>
        <v/>
      </c>
      <c r="B59" s="49"/>
      <c r="C59" s="49" t="str">
        <f t="shared" si="3"/>
        <v/>
      </c>
      <c r="D59" s="64" t="s">
        <v>198</v>
      </c>
      <c r="E59" s="63"/>
      <c r="F59" s="34" t="s">
        <v>53</v>
      </c>
      <c r="G59" s="52">
        <v>1</v>
      </c>
      <c r="H59" s="48">
        <v>187054</v>
      </c>
      <c r="I59" s="48">
        <f t="shared" si="5"/>
        <v>187054</v>
      </c>
      <c r="J59" s="34"/>
    </row>
    <row r="60" spans="1:10" s="32" customFormat="1" ht="25.5" x14ac:dyDescent="0.25">
      <c r="A60" s="49">
        <f>IF(B60="","",SUBTOTAL(3,$B$7:B60))</f>
        <v>4</v>
      </c>
      <c r="B60" s="49" t="s">
        <v>52</v>
      </c>
      <c r="C60" s="49" t="str">
        <f>IF(B60&lt;&gt;"","T. Nà Tạ","")</f>
        <v>T. Nà Tạ</v>
      </c>
      <c r="D60" s="62"/>
      <c r="E60" s="62"/>
      <c r="F60" s="49"/>
      <c r="G60" s="1"/>
      <c r="H60" s="2"/>
      <c r="I60" s="2">
        <f>I67</f>
        <v>1076000</v>
      </c>
      <c r="J60" s="34"/>
    </row>
    <row r="61" spans="1:10" x14ac:dyDescent="0.25">
      <c r="A61" s="49" t="str">
        <f>IF(B61="","",SUBTOTAL(3,$B$7:B61))</f>
        <v/>
      </c>
      <c r="B61" s="49"/>
      <c r="C61" s="49"/>
      <c r="D61" s="63"/>
      <c r="E61" s="63"/>
      <c r="F61" s="34"/>
      <c r="G61" s="52"/>
      <c r="H61" s="48"/>
      <c r="I61" s="48"/>
      <c r="J61" s="34"/>
    </row>
    <row r="62" spans="1:10" ht="63.75" x14ac:dyDescent="0.25">
      <c r="A62" s="49" t="str">
        <f>IF(B62="","",SUBTOTAL(3,$B$7:B62))</f>
        <v/>
      </c>
      <c r="B62" s="49"/>
      <c r="C62" s="49"/>
      <c r="D62" s="65" t="s">
        <v>219</v>
      </c>
      <c r="E62" s="63"/>
      <c r="F62" s="34"/>
      <c r="G62" s="52"/>
      <c r="H62" s="48"/>
      <c r="I62" s="48"/>
      <c r="J62" s="34"/>
    </row>
    <row r="63" spans="1:10" x14ac:dyDescent="0.25">
      <c r="A63" s="49" t="str">
        <f>IF(B63="","",SUBTOTAL(3,$B$7:B63))</f>
        <v/>
      </c>
      <c r="B63" s="49"/>
      <c r="C63" s="49"/>
      <c r="D63" s="64" t="s">
        <v>220</v>
      </c>
      <c r="E63" s="63"/>
      <c r="F63" s="34" t="s">
        <v>17</v>
      </c>
      <c r="G63" s="52">
        <v>34</v>
      </c>
      <c r="H63" s="48">
        <v>104000</v>
      </c>
      <c r="I63" s="48">
        <f>G63*H63</f>
        <v>3536000</v>
      </c>
      <c r="J63" s="34"/>
    </row>
    <row r="64" spans="1:10" x14ac:dyDescent="0.25">
      <c r="A64" s="49" t="str">
        <f>IF(B64="","",SUBTOTAL(3,$B$7:B64))</f>
        <v/>
      </c>
      <c r="B64" s="49"/>
      <c r="C64" s="49"/>
      <c r="D64" s="63" t="s">
        <v>221</v>
      </c>
      <c r="E64" s="63"/>
      <c r="F64" s="34"/>
      <c r="G64" s="52"/>
      <c r="H64" s="48"/>
      <c r="I64" s="48"/>
      <c r="J64" s="34"/>
    </row>
    <row r="65" spans="1:10" x14ac:dyDescent="0.25">
      <c r="A65" s="49" t="str">
        <f>IF(B65="","",SUBTOTAL(3,$B$7:B65))</f>
        <v/>
      </c>
      <c r="B65" s="49"/>
      <c r="C65" s="49"/>
      <c r="D65" s="64" t="s">
        <v>220</v>
      </c>
      <c r="E65" s="63"/>
      <c r="F65" s="34" t="s">
        <v>17</v>
      </c>
      <c r="G65" s="52">
        <v>28</v>
      </c>
      <c r="H65" s="48">
        <v>104000</v>
      </c>
      <c r="I65" s="48">
        <f>G65*H65</f>
        <v>2912000</v>
      </c>
      <c r="J65" s="34"/>
    </row>
    <row r="66" spans="1:10" x14ac:dyDescent="0.25">
      <c r="A66" s="49" t="str">
        <f>IF(B66="","",SUBTOTAL(3,$B$7:B66))</f>
        <v/>
      </c>
      <c r="B66" s="49"/>
      <c r="C66" s="49"/>
      <c r="D66" s="64" t="s">
        <v>222</v>
      </c>
      <c r="E66" s="63"/>
      <c r="F66" s="34" t="s">
        <v>17</v>
      </c>
      <c r="G66" s="52">
        <v>4</v>
      </c>
      <c r="H66" s="48">
        <v>425000</v>
      </c>
      <c r="I66" s="48">
        <f>G66*H66</f>
        <v>1700000</v>
      </c>
      <c r="J66" s="34"/>
    </row>
    <row r="67" spans="1:10" ht="25.5" x14ac:dyDescent="0.25">
      <c r="A67" s="49" t="str">
        <f>IF(B67="","",SUBTOTAL(3,$B$7:B67))</f>
        <v/>
      </c>
      <c r="B67" s="49"/>
      <c r="C67" s="49"/>
      <c r="D67" s="63" t="s">
        <v>223</v>
      </c>
      <c r="E67" s="63"/>
      <c r="F67" s="34"/>
      <c r="G67" s="52"/>
      <c r="H67" s="48"/>
      <c r="I67" s="48">
        <f>SUM(I65:I66)-I63</f>
        <v>1076000</v>
      </c>
      <c r="J67" s="34"/>
    </row>
    <row r="68" spans="1:10" s="32" customFormat="1" ht="141.75" customHeight="1" x14ac:dyDescent="0.25">
      <c r="A68" s="49"/>
      <c r="B68" s="49"/>
      <c r="C68" s="49"/>
      <c r="D68" s="66" t="s">
        <v>322</v>
      </c>
      <c r="E68" s="62"/>
      <c r="F68" s="49"/>
      <c r="G68" s="1"/>
      <c r="H68" s="2"/>
      <c r="I68" s="2">
        <f>(I71-I70)+(I74-I73)</f>
        <v>19814960.939999998</v>
      </c>
      <c r="J68" s="34"/>
    </row>
    <row r="69" spans="1:10" ht="63.75" x14ac:dyDescent="0.25">
      <c r="A69" s="49" t="str">
        <f>IF(B69="","",SUBTOTAL(3,$B$7:B69))</f>
        <v/>
      </c>
      <c r="B69" s="49"/>
      <c r="C69" s="49" t="str">
        <f t="shared" ref="C69:C70" si="6">IF(B69&lt;&gt;"","T. Nà Tạ","")</f>
        <v/>
      </c>
      <c r="D69" s="62" t="s">
        <v>323</v>
      </c>
      <c r="E69" s="63"/>
      <c r="F69" s="34"/>
      <c r="G69" s="52"/>
      <c r="H69" s="48"/>
      <c r="I69" s="34"/>
      <c r="J69" s="34" t="str">
        <f>'Tong Hop'!M10</f>
        <v>Phê duyệt bổ sung phần chênh lệch do áp dụng đơn giá mới theo Quyết định số 1632/QĐ-UBND ngày 11/9/2023</v>
      </c>
    </row>
    <row r="70" spans="1:10" x14ac:dyDescent="0.25">
      <c r="A70" s="49" t="str">
        <f>IF(B70="","",SUBTOTAL(3,$B$7:B70))</f>
        <v/>
      </c>
      <c r="B70" s="49"/>
      <c r="C70" s="49" t="str">
        <f t="shared" si="6"/>
        <v/>
      </c>
      <c r="D70" s="64" t="s">
        <v>324</v>
      </c>
      <c r="E70" s="63" t="s">
        <v>325</v>
      </c>
      <c r="F70" s="34" t="s">
        <v>10</v>
      </c>
      <c r="G70" s="52">
        <f>6*7.2</f>
        <v>43.2</v>
      </c>
      <c r="H70" s="48">
        <v>780515</v>
      </c>
      <c r="I70" s="48">
        <f t="shared" ref="I70:I74" si="7">G70*H70</f>
        <v>33718248</v>
      </c>
      <c r="J70" s="34"/>
    </row>
    <row r="71" spans="1:10" x14ac:dyDescent="0.25">
      <c r="A71" s="49"/>
      <c r="B71" s="49"/>
      <c r="C71" s="49"/>
      <c r="D71" s="64" t="s">
        <v>324</v>
      </c>
      <c r="E71" s="63" t="s">
        <v>325</v>
      </c>
      <c r="F71" s="34" t="s">
        <v>10</v>
      </c>
      <c r="G71" s="52">
        <f>6*7.2</f>
        <v>43.2</v>
      </c>
      <c r="H71" s="48">
        <v>1089190</v>
      </c>
      <c r="I71" s="48">
        <f t="shared" si="7"/>
        <v>47053008</v>
      </c>
      <c r="J71" s="34"/>
    </row>
    <row r="72" spans="1:10" ht="38.25" x14ac:dyDescent="0.25">
      <c r="A72" s="49" t="str">
        <f>IF(B72="","",SUBTOTAL(3,$B$7:B72))</f>
        <v/>
      </c>
      <c r="B72" s="49"/>
      <c r="C72" s="49" t="str">
        <f t="shared" ref="C72:C73" si="8">IF(B72&lt;&gt;"","T. Nà Tạ","")</f>
        <v/>
      </c>
      <c r="D72" s="62" t="s">
        <v>326</v>
      </c>
      <c r="E72" s="63"/>
      <c r="F72" s="34"/>
      <c r="G72" s="52"/>
      <c r="H72" s="48"/>
      <c r="I72" s="48">
        <f t="shared" si="7"/>
        <v>0</v>
      </c>
      <c r="J72" s="34"/>
    </row>
    <row r="73" spans="1:10" x14ac:dyDescent="0.25">
      <c r="A73" s="49" t="str">
        <f>IF(B73="","",SUBTOTAL(3,$B$7:B73))</f>
        <v/>
      </c>
      <c r="B73" s="49"/>
      <c r="C73" s="49" t="str">
        <f t="shared" si="8"/>
        <v/>
      </c>
      <c r="D73" s="63" t="s">
        <v>324</v>
      </c>
      <c r="E73" s="63" t="s">
        <v>327</v>
      </c>
      <c r="F73" s="34" t="s">
        <v>10</v>
      </c>
      <c r="G73" s="52">
        <f>6.2*7.9</f>
        <v>48.980000000000004</v>
      </c>
      <c r="H73" s="48">
        <v>578497</v>
      </c>
      <c r="I73" s="48">
        <f t="shared" si="7"/>
        <v>28334783.060000002</v>
      </c>
      <c r="J73" s="34"/>
    </row>
    <row r="74" spans="1:10" x14ac:dyDescent="0.25">
      <c r="A74" s="49"/>
      <c r="B74" s="49"/>
      <c r="C74" s="49"/>
      <c r="D74" s="63" t="s">
        <v>324</v>
      </c>
      <c r="E74" s="63" t="s">
        <v>327</v>
      </c>
      <c r="F74" s="34" t="s">
        <v>10</v>
      </c>
      <c r="G74" s="52">
        <f>6.2*7.9</f>
        <v>48.980000000000004</v>
      </c>
      <c r="H74" s="48">
        <v>710800</v>
      </c>
      <c r="I74" s="48">
        <f t="shared" si="7"/>
        <v>34814984</v>
      </c>
      <c r="J74" s="34"/>
    </row>
    <row r="75" spans="1:10" s="32" customFormat="1" ht="25.5" x14ac:dyDescent="0.25">
      <c r="A75" s="49">
        <f>IF(B75="","",SUBTOTAL(3,$B$7:B75))</f>
        <v>5</v>
      </c>
      <c r="B75" s="49" t="s">
        <v>28</v>
      </c>
      <c r="C75" s="49" t="str">
        <f t="shared" ref="C75:C95" si="9">IF(B75&lt;&gt;"","T. Nà Tạ","")</f>
        <v>T. Nà Tạ</v>
      </c>
      <c r="D75" s="62"/>
      <c r="E75" s="62"/>
      <c r="F75" s="49"/>
      <c r="G75" s="1"/>
      <c r="H75" s="2"/>
      <c r="I75" s="2">
        <f>SUM(I76:I95)</f>
        <v>28368556.95022</v>
      </c>
      <c r="J75" s="34"/>
    </row>
    <row r="76" spans="1:10" x14ac:dyDescent="0.25">
      <c r="A76" s="49" t="str">
        <f>IF(B76="","",SUBTOTAL(3,$B$7:B76))</f>
        <v/>
      </c>
      <c r="B76" s="49"/>
      <c r="C76" s="49" t="str">
        <f t="shared" si="9"/>
        <v/>
      </c>
      <c r="D76" s="62" t="s">
        <v>224</v>
      </c>
      <c r="E76" s="63"/>
      <c r="F76" s="34"/>
      <c r="G76" s="52"/>
      <c r="H76" s="48"/>
      <c r="I76" s="48"/>
      <c r="J76" s="34"/>
    </row>
    <row r="77" spans="1:10" x14ac:dyDescent="0.25">
      <c r="A77" s="49" t="str">
        <f>IF(B77="","",SUBTOTAL(3,$B$7:B77))</f>
        <v/>
      </c>
      <c r="B77" s="49"/>
      <c r="C77" s="49" t="str">
        <f t="shared" si="9"/>
        <v/>
      </c>
      <c r="D77" s="64" t="s">
        <v>225</v>
      </c>
      <c r="E77" s="63" t="s">
        <v>226</v>
      </c>
      <c r="F77" s="34" t="s">
        <v>10</v>
      </c>
      <c r="G77" s="52">
        <f>2.8*6.2</f>
        <v>17.36</v>
      </c>
      <c r="H77" s="48">
        <v>133340</v>
      </c>
      <c r="I77" s="48">
        <f t="shared" ref="I77:I83" si="10">G77*H77</f>
        <v>2314782.4</v>
      </c>
      <c r="J77" s="34"/>
    </row>
    <row r="78" spans="1:10" ht="25.5" x14ac:dyDescent="0.25">
      <c r="A78" s="49" t="str">
        <f>IF(B78="","",SUBTOTAL(3,$B$7:B78))</f>
        <v/>
      </c>
      <c r="B78" s="49"/>
      <c r="C78" s="49" t="str">
        <f t="shared" si="9"/>
        <v/>
      </c>
      <c r="D78" s="64" t="s">
        <v>227</v>
      </c>
      <c r="E78" s="63" t="s">
        <v>226</v>
      </c>
      <c r="F78" s="34" t="s">
        <v>10</v>
      </c>
      <c r="G78" s="52">
        <f>2.8*6.2</f>
        <v>17.36</v>
      </c>
      <c r="H78" s="48">
        <v>52154</v>
      </c>
      <c r="I78" s="48">
        <f t="shared" si="10"/>
        <v>905393.44</v>
      </c>
      <c r="J78" s="34"/>
    </row>
    <row r="79" spans="1:10" ht="25.5" x14ac:dyDescent="0.25">
      <c r="A79" s="49" t="str">
        <f>IF(B79="","",SUBTOTAL(3,$B$7:B79))</f>
        <v/>
      </c>
      <c r="B79" s="49"/>
      <c r="C79" s="49" t="str">
        <f t="shared" si="9"/>
        <v/>
      </c>
      <c r="D79" s="64" t="s">
        <v>228</v>
      </c>
      <c r="E79" s="63" t="s">
        <v>229</v>
      </c>
      <c r="F79" s="34" t="s">
        <v>18</v>
      </c>
      <c r="G79" s="52">
        <f>3.5*1.6*0.11+(1.7*2.7+11.2*1.5)*0.11</f>
        <v>2.9688999999999997</v>
      </c>
      <c r="H79" s="48">
        <v>1809620</v>
      </c>
      <c r="I79" s="48">
        <f t="shared" si="10"/>
        <v>5372580.817999999</v>
      </c>
      <c r="J79" s="34"/>
    </row>
    <row r="80" spans="1:10" x14ac:dyDescent="0.25">
      <c r="A80" s="49" t="str">
        <f>IF(B80="","",SUBTOTAL(3,$B$7:B80))</f>
        <v/>
      </c>
      <c r="B80" s="49"/>
      <c r="C80" s="49" t="str">
        <f t="shared" si="9"/>
        <v/>
      </c>
      <c r="D80" s="64" t="s">
        <v>230</v>
      </c>
      <c r="E80" s="63" t="s">
        <v>231</v>
      </c>
      <c r="F80" s="34" t="s">
        <v>18</v>
      </c>
      <c r="G80" s="52">
        <f>3.5*0.4*0.4</f>
        <v>0.56000000000000005</v>
      </c>
      <c r="H80" s="48">
        <v>1258528</v>
      </c>
      <c r="I80" s="48">
        <f t="shared" si="10"/>
        <v>704775.68000000005</v>
      </c>
      <c r="J80" s="34"/>
    </row>
    <row r="81" spans="1:10" x14ac:dyDescent="0.25">
      <c r="A81" s="49" t="str">
        <f>IF(B81="","",SUBTOTAL(3,$B$7:B81))</f>
        <v/>
      </c>
      <c r="B81" s="49"/>
      <c r="C81" s="49" t="str">
        <f t="shared" si="9"/>
        <v/>
      </c>
      <c r="D81" s="64" t="s">
        <v>232</v>
      </c>
      <c r="E81" s="63" t="s">
        <v>233</v>
      </c>
      <c r="F81" s="34" t="s">
        <v>18</v>
      </c>
      <c r="G81" s="52">
        <f>2.8*0.22*0.22*3</f>
        <v>0.40656000000000003</v>
      </c>
      <c r="H81" s="48">
        <v>2149912</v>
      </c>
      <c r="I81" s="48">
        <f t="shared" si="10"/>
        <v>874068.22272000008</v>
      </c>
      <c r="J81" s="34"/>
    </row>
    <row r="82" spans="1:10" ht="25.5" x14ac:dyDescent="0.25">
      <c r="A82" s="49" t="str">
        <f>IF(B82="","",SUBTOTAL(3,$B$7:B82))</f>
        <v/>
      </c>
      <c r="B82" s="49"/>
      <c r="C82" s="49" t="str">
        <f t="shared" si="9"/>
        <v/>
      </c>
      <c r="D82" s="64" t="s">
        <v>234</v>
      </c>
      <c r="E82" s="63" t="s">
        <v>235</v>
      </c>
      <c r="F82" s="34" t="s">
        <v>10</v>
      </c>
      <c r="G82" s="52">
        <f>11.2*0.8+(3.5+2.7)*0.8</f>
        <v>13.92</v>
      </c>
      <c r="H82" s="48">
        <v>280000</v>
      </c>
      <c r="I82" s="48">
        <f t="shared" si="10"/>
        <v>3897600</v>
      </c>
      <c r="J82" s="34"/>
    </row>
    <row r="83" spans="1:10" ht="25.5" x14ac:dyDescent="0.25">
      <c r="A83" s="49" t="str">
        <f>IF(B83="","",SUBTOTAL(3,$B$7:B83))</f>
        <v/>
      </c>
      <c r="B83" s="49"/>
      <c r="C83" s="49" t="str">
        <f t="shared" si="9"/>
        <v/>
      </c>
      <c r="D83" s="64" t="s">
        <v>236</v>
      </c>
      <c r="E83" s="63" t="s">
        <v>237</v>
      </c>
      <c r="F83" s="34" t="s">
        <v>18</v>
      </c>
      <c r="G83" s="52">
        <f>3.2*0.5*0.11</f>
        <v>0.17600000000000002</v>
      </c>
      <c r="H83" s="48">
        <v>1809620</v>
      </c>
      <c r="I83" s="48">
        <f t="shared" si="10"/>
        <v>318493.12000000005</v>
      </c>
      <c r="J83" s="34"/>
    </row>
    <row r="84" spans="1:10" x14ac:dyDescent="0.25">
      <c r="A84" s="49" t="str">
        <f>IF(B84="","",SUBTOTAL(3,$B$7:B84))</f>
        <v/>
      </c>
      <c r="B84" s="49"/>
      <c r="C84" s="49" t="str">
        <f t="shared" si="9"/>
        <v/>
      </c>
      <c r="D84" s="62" t="s">
        <v>238</v>
      </c>
      <c r="E84" s="63"/>
      <c r="F84" s="34"/>
      <c r="G84" s="52"/>
      <c r="H84" s="48"/>
      <c r="I84" s="48"/>
      <c r="J84" s="34"/>
    </row>
    <row r="85" spans="1:10" ht="25.5" x14ac:dyDescent="0.25">
      <c r="A85" s="49" t="str">
        <f>IF(B85="","",SUBTOTAL(3,$B$7:B85))</f>
        <v/>
      </c>
      <c r="B85" s="49"/>
      <c r="C85" s="49" t="str">
        <f t="shared" si="9"/>
        <v/>
      </c>
      <c r="D85" s="64" t="s">
        <v>239</v>
      </c>
      <c r="E85" s="63" t="s">
        <v>240</v>
      </c>
      <c r="F85" s="34" t="s">
        <v>10</v>
      </c>
      <c r="G85" s="52">
        <f>6*3.3</f>
        <v>19.799999999999997</v>
      </c>
      <c r="H85" s="48">
        <v>133340</v>
      </c>
      <c r="I85" s="48">
        <f>G85*H85</f>
        <v>2640131.9999999995</v>
      </c>
      <c r="J85" s="34"/>
    </row>
    <row r="86" spans="1:10" ht="25.5" x14ac:dyDescent="0.25">
      <c r="A86" s="49" t="str">
        <f>IF(B86="","",SUBTOTAL(3,$B$7:B86))</f>
        <v/>
      </c>
      <c r="B86" s="49"/>
      <c r="C86" s="49" t="str">
        <f t="shared" si="9"/>
        <v/>
      </c>
      <c r="D86" s="64" t="s">
        <v>241</v>
      </c>
      <c r="E86" s="63" t="s">
        <v>242</v>
      </c>
      <c r="F86" s="34" t="s">
        <v>18</v>
      </c>
      <c r="G86" s="52">
        <f>9.5*0.9*0.1</f>
        <v>0.85500000000000009</v>
      </c>
      <c r="H86" s="48">
        <v>1714308</v>
      </c>
      <c r="I86" s="48">
        <f>G86*H86</f>
        <v>1465733.34</v>
      </c>
      <c r="J86" s="34"/>
    </row>
    <row r="87" spans="1:10" ht="25.5" x14ac:dyDescent="0.25">
      <c r="A87" s="49" t="str">
        <f>IF(B87="","",SUBTOTAL(3,$B$7:B87))</f>
        <v/>
      </c>
      <c r="B87" s="49"/>
      <c r="C87" s="49" t="str">
        <f t="shared" si="9"/>
        <v/>
      </c>
      <c r="D87" s="64" t="s">
        <v>243</v>
      </c>
      <c r="E87" s="63" t="s">
        <v>244</v>
      </c>
      <c r="F87" s="34" t="s">
        <v>18</v>
      </c>
      <c r="G87" s="52">
        <f>3*5.4*0.05</f>
        <v>0.81000000000000016</v>
      </c>
      <c r="H87" s="48">
        <v>1399844</v>
      </c>
      <c r="I87" s="48">
        <f>G87*H87</f>
        <v>1133873.6400000001</v>
      </c>
      <c r="J87" s="34"/>
    </row>
    <row r="88" spans="1:10" ht="25.5" x14ac:dyDescent="0.25">
      <c r="A88" s="49" t="str">
        <f>IF(B88="","",SUBTOTAL(3,$B$7:B88))</f>
        <v/>
      </c>
      <c r="B88" s="49"/>
      <c r="C88" s="49" t="str">
        <f t="shared" si="9"/>
        <v/>
      </c>
      <c r="D88" s="62" t="s">
        <v>245</v>
      </c>
      <c r="E88" s="63"/>
      <c r="F88" s="34"/>
      <c r="G88" s="52"/>
      <c r="H88" s="48"/>
      <c r="I88" s="48"/>
      <c r="J88" s="34"/>
    </row>
    <row r="89" spans="1:10" ht="25.5" x14ac:dyDescent="0.25">
      <c r="A89" s="49" t="str">
        <f>IF(B89="","",SUBTOTAL(3,$B$7:B89))</f>
        <v/>
      </c>
      <c r="B89" s="49"/>
      <c r="C89" s="49" t="str">
        <f t="shared" si="9"/>
        <v/>
      </c>
      <c r="D89" s="64" t="s">
        <v>246</v>
      </c>
      <c r="E89" s="63" t="s">
        <v>247</v>
      </c>
      <c r="F89" s="34" t="s">
        <v>18</v>
      </c>
      <c r="G89" s="52">
        <f>(3.1*2+2.8*2+0.4*2)*1.7*0.1</f>
        <v>2.1420000000000003</v>
      </c>
      <c r="H89" s="48">
        <v>1714308</v>
      </c>
      <c r="I89" s="48">
        <f t="shared" ref="I89:I95" si="11">G89*H89</f>
        <v>3672047.7360000005</v>
      </c>
      <c r="J89" s="34"/>
    </row>
    <row r="90" spans="1:10" x14ac:dyDescent="0.25">
      <c r="A90" s="49" t="str">
        <f>IF(B90="","",SUBTOTAL(3,$B$7:B90))</f>
        <v/>
      </c>
      <c r="B90" s="49"/>
      <c r="C90" s="49" t="str">
        <f t="shared" si="9"/>
        <v/>
      </c>
      <c r="D90" s="64" t="s">
        <v>248</v>
      </c>
      <c r="E90" s="63" t="s">
        <v>249</v>
      </c>
      <c r="F90" s="34" t="s">
        <v>18</v>
      </c>
      <c r="G90" s="52">
        <f>3*2.7*0.05</f>
        <v>0.40500000000000008</v>
      </c>
      <c r="H90" s="48">
        <v>1421772</v>
      </c>
      <c r="I90" s="48">
        <f t="shared" si="11"/>
        <v>575817.66000000015</v>
      </c>
      <c r="J90" s="34"/>
    </row>
    <row r="91" spans="1:10" x14ac:dyDescent="0.25">
      <c r="A91" s="49" t="str">
        <f>IF(B91="","",SUBTOTAL(3,$B$7:B91))</f>
        <v/>
      </c>
      <c r="B91" s="49"/>
      <c r="C91" s="49" t="str">
        <f t="shared" si="9"/>
        <v/>
      </c>
      <c r="D91" s="64" t="s">
        <v>250</v>
      </c>
      <c r="E91" s="63" t="s">
        <v>251</v>
      </c>
      <c r="F91" s="34" t="s">
        <v>18</v>
      </c>
      <c r="G91" s="52">
        <f>3.1*0.9*2*0.11</f>
        <v>0.61380000000000001</v>
      </c>
      <c r="H91" s="48">
        <v>1809620</v>
      </c>
      <c r="I91" s="48">
        <f t="shared" si="11"/>
        <v>1110744.7560000001</v>
      </c>
      <c r="J91" s="34"/>
    </row>
    <row r="92" spans="1:10" ht="25.5" x14ac:dyDescent="0.25">
      <c r="A92" s="49" t="str">
        <f>IF(B92="","",SUBTOTAL(3,$B$7:B92))</f>
        <v/>
      </c>
      <c r="B92" s="49"/>
      <c r="C92" s="49" t="str">
        <f t="shared" si="9"/>
        <v/>
      </c>
      <c r="D92" s="64" t="s">
        <v>252</v>
      </c>
      <c r="E92" s="63" t="s">
        <v>253</v>
      </c>
      <c r="F92" s="34" t="s">
        <v>10</v>
      </c>
      <c r="G92" s="52">
        <f>1.75*1.75</f>
        <v>3.0625</v>
      </c>
      <c r="H92" s="48">
        <v>217183</v>
      </c>
      <c r="I92" s="48">
        <f t="shared" si="11"/>
        <v>665122.9375</v>
      </c>
      <c r="J92" s="34"/>
    </row>
    <row r="93" spans="1:10" x14ac:dyDescent="0.25">
      <c r="A93" s="49" t="str">
        <f>IF(B93="","",SUBTOTAL(3,$B$7:B93))</f>
        <v/>
      </c>
      <c r="B93" s="49"/>
      <c r="C93" s="49" t="str">
        <f t="shared" si="9"/>
        <v/>
      </c>
      <c r="D93" s="64" t="s">
        <v>254</v>
      </c>
      <c r="E93" s="63" t="s">
        <v>255</v>
      </c>
      <c r="F93" s="34" t="s">
        <v>10</v>
      </c>
      <c r="G93" s="52">
        <f>3.1*2.8</f>
        <v>8.68</v>
      </c>
      <c r="H93" s="48">
        <v>133340</v>
      </c>
      <c r="I93" s="48">
        <f t="shared" si="11"/>
        <v>1157391.2</v>
      </c>
      <c r="J93" s="34"/>
    </row>
    <row r="94" spans="1:10" x14ac:dyDescent="0.25">
      <c r="A94" s="49" t="str">
        <f>IF(B94="","",SUBTOTAL(3,$B$7:B94))</f>
        <v/>
      </c>
      <c r="B94" s="49"/>
      <c r="C94" s="49" t="str">
        <f t="shared" si="9"/>
        <v/>
      </c>
      <c r="D94" s="64" t="s">
        <v>256</v>
      </c>
      <c r="E94" s="63"/>
      <c r="F94" s="34" t="s">
        <v>257</v>
      </c>
      <c r="G94" s="52">
        <v>1</v>
      </c>
      <c r="H94" s="48"/>
      <c r="I94" s="48">
        <f t="shared" si="11"/>
        <v>0</v>
      </c>
      <c r="J94" s="34"/>
    </row>
    <row r="95" spans="1:10" ht="28.5" customHeight="1" x14ac:dyDescent="0.25">
      <c r="A95" s="49" t="str">
        <f>IF(B95="","",SUBTOTAL(3,$B$7:B95))</f>
        <v/>
      </c>
      <c r="B95" s="49"/>
      <c r="C95" s="49" t="str">
        <f t="shared" si="9"/>
        <v/>
      </c>
      <c r="D95" s="64" t="s">
        <v>258</v>
      </c>
      <c r="E95" s="63" t="s">
        <v>259</v>
      </c>
      <c r="F95" s="34" t="s">
        <v>10</v>
      </c>
      <c r="G95" s="52">
        <f>2*1.3</f>
        <v>2.6</v>
      </c>
      <c r="H95" s="48">
        <v>600000</v>
      </c>
      <c r="I95" s="48">
        <f t="shared" si="11"/>
        <v>1560000</v>
      </c>
      <c r="J95" s="34"/>
    </row>
    <row r="96" spans="1:10" x14ac:dyDescent="0.25">
      <c r="A96" s="49" t="str">
        <f>IF(B96="","",SUBTOTAL(3,$B$7:B96))</f>
        <v/>
      </c>
      <c r="B96" s="49"/>
      <c r="C96" s="49"/>
      <c r="D96" s="62"/>
      <c r="E96" s="63"/>
      <c r="F96" s="34"/>
      <c r="G96" s="52"/>
      <c r="H96" s="48"/>
      <c r="I96" s="48"/>
      <c r="J96" s="34"/>
    </row>
    <row r="97" spans="1:10" s="32" customFormat="1" x14ac:dyDescent="0.25">
      <c r="A97" s="49">
        <f>IF(B97="","",SUBTOTAL(3,$B$7:B97))</f>
        <v>6</v>
      </c>
      <c r="B97" s="49" t="s">
        <v>58</v>
      </c>
      <c r="C97" s="49" t="str">
        <f t="shared" ref="C97:C101" si="12">IF(B97&lt;&gt;"","T. Nà Tạ","")</f>
        <v>T. Nà Tạ</v>
      </c>
      <c r="D97" s="62"/>
      <c r="E97" s="62"/>
      <c r="F97" s="49"/>
      <c r="G97" s="1"/>
      <c r="H97" s="2"/>
      <c r="I97" s="2">
        <f>SUM(I98:I101)</f>
        <v>22321089.800000001</v>
      </c>
      <c r="J97" s="34"/>
    </row>
    <row r="98" spans="1:10" ht="25.5" x14ac:dyDescent="0.25">
      <c r="A98" s="49" t="str">
        <f>IF(B98="","",SUBTOTAL(3,$B$7:B98))</f>
        <v/>
      </c>
      <c r="B98" s="49"/>
      <c r="C98" s="49" t="str">
        <f t="shared" si="12"/>
        <v/>
      </c>
      <c r="D98" s="64" t="s">
        <v>276</v>
      </c>
      <c r="E98" s="63" t="s">
        <v>277</v>
      </c>
      <c r="F98" s="34" t="s">
        <v>10</v>
      </c>
      <c r="G98" s="52">
        <f>30*1.3</f>
        <v>39</v>
      </c>
      <c r="H98" s="48">
        <v>302000</v>
      </c>
      <c r="I98" s="48">
        <f>G98*H98</f>
        <v>11778000</v>
      </c>
      <c r="J98" s="34"/>
    </row>
    <row r="99" spans="1:10" ht="23.25" customHeight="1" x14ac:dyDescent="0.25">
      <c r="A99" s="49" t="str">
        <f>IF(B99="","",SUBTOTAL(3,$B$7:B99))</f>
        <v/>
      </c>
      <c r="B99" s="49"/>
      <c r="C99" s="49" t="str">
        <f t="shared" si="12"/>
        <v/>
      </c>
      <c r="D99" s="64" t="s">
        <v>278</v>
      </c>
      <c r="E99" s="63" t="s">
        <v>279</v>
      </c>
      <c r="F99" s="34" t="s">
        <v>10</v>
      </c>
      <c r="G99" s="52">
        <f>8*3.5</f>
        <v>28</v>
      </c>
      <c r="H99" s="48">
        <v>133340</v>
      </c>
      <c r="I99" s="48">
        <f>G99*H99</f>
        <v>3733520</v>
      </c>
      <c r="J99" s="34"/>
    </row>
    <row r="100" spans="1:10" x14ac:dyDescent="0.25">
      <c r="A100" s="49" t="str">
        <f>IF(B100="","",SUBTOTAL(3,$B$7:B100))</f>
        <v/>
      </c>
      <c r="B100" s="49"/>
      <c r="C100" s="49" t="str">
        <f t="shared" si="12"/>
        <v/>
      </c>
      <c r="D100" s="64" t="s">
        <v>280</v>
      </c>
      <c r="E100" s="63" t="s">
        <v>281</v>
      </c>
      <c r="F100" s="34" t="s">
        <v>18</v>
      </c>
      <c r="G100" s="52">
        <f>8*3.5*0.1</f>
        <v>2.8000000000000003</v>
      </c>
      <c r="H100" s="48">
        <v>1421772</v>
      </c>
      <c r="I100" s="48">
        <f>G100*H100</f>
        <v>3980961.6000000006</v>
      </c>
      <c r="J100" s="34"/>
    </row>
    <row r="101" spans="1:10" ht="25.5" x14ac:dyDescent="0.25">
      <c r="A101" s="49" t="str">
        <f>IF(B101="","",SUBTOTAL(3,$B$7:B101))</f>
        <v/>
      </c>
      <c r="B101" s="49"/>
      <c r="C101" s="49" t="str">
        <f t="shared" si="12"/>
        <v/>
      </c>
      <c r="D101" s="64" t="s">
        <v>282</v>
      </c>
      <c r="E101" s="63" t="s">
        <v>283</v>
      </c>
      <c r="F101" s="34" t="s">
        <v>18</v>
      </c>
      <c r="G101" s="52">
        <f>5*3*0.11</f>
        <v>1.65</v>
      </c>
      <c r="H101" s="48">
        <v>1714308</v>
      </c>
      <c r="I101" s="48">
        <f>G101*H101</f>
        <v>2828608.1999999997</v>
      </c>
      <c r="J101" s="34"/>
    </row>
    <row r="102" spans="1:10" x14ac:dyDescent="0.25">
      <c r="A102" s="49" t="str">
        <f>IF(B102="","",SUBTOTAL(3,$B$7:B102))</f>
        <v/>
      </c>
      <c r="B102" s="49"/>
      <c r="C102" s="49"/>
      <c r="D102" s="64"/>
      <c r="E102" s="63"/>
      <c r="F102" s="34"/>
      <c r="G102" s="52"/>
      <c r="H102" s="48"/>
      <c r="I102" s="48"/>
      <c r="J102" s="34"/>
    </row>
    <row r="103" spans="1:10" s="32" customFormat="1" x14ac:dyDescent="0.25">
      <c r="A103" s="49">
        <f>IF(B103="","",SUBTOTAL(3,$B$7:B103))</f>
        <v>7</v>
      </c>
      <c r="B103" s="49" t="s">
        <v>31</v>
      </c>
      <c r="C103" s="49" t="str">
        <f t="shared" ref="C103:C112" si="13">IF(B103&lt;&gt;"","T. Nà Tạ","")</f>
        <v>T. Nà Tạ</v>
      </c>
      <c r="D103" s="62"/>
      <c r="E103" s="62"/>
      <c r="F103" s="49"/>
      <c r="G103" s="1"/>
      <c r="H103" s="2"/>
      <c r="I103" s="2">
        <f>SUM(I104:I112)</f>
        <v>98238731.028800011</v>
      </c>
      <c r="J103" s="34"/>
    </row>
    <row r="104" spans="1:10" ht="25.5" x14ac:dyDescent="0.25">
      <c r="A104" s="49" t="str">
        <f>IF(B104="","",SUBTOTAL(3,$B$7:B104))</f>
        <v/>
      </c>
      <c r="B104" s="49"/>
      <c r="C104" s="49" t="str">
        <f t="shared" si="13"/>
        <v/>
      </c>
      <c r="D104" s="64" t="s">
        <v>289</v>
      </c>
      <c r="E104" s="63" t="s">
        <v>290</v>
      </c>
      <c r="F104" s="34" t="s">
        <v>10</v>
      </c>
      <c r="G104" s="52">
        <f>23*1</f>
        <v>23</v>
      </c>
      <c r="H104" s="48">
        <v>170000</v>
      </c>
      <c r="I104" s="48">
        <f t="shared" ref="I104:I112" si="14">G104*H104</f>
        <v>3910000</v>
      </c>
      <c r="J104" s="34"/>
    </row>
    <row r="105" spans="1:10" ht="25.5" x14ac:dyDescent="0.25">
      <c r="A105" s="49" t="str">
        <f>IF(B105="","",SUBTOTAL(3,$B$7:B105))</f>
        <v/>
      </c>
      <c r="B105" s="49"/>
      <c r="C105" s="49" t="str">
        <f t="shared" si="13"/>
        <v/>
      </c>
      <c r="D105" s="64" t="s">
        <v>291</v>
      </c>
      <c r="E105" s="63" t="s">
        <v>292</v>
      </c>
      <c r="F105" s="34" t="s">
        <v>17</v>
      </c>
      <c r="G105" s="52">
        <f>23*1.1</f>
        <v>25.3</v>
      </c>
      <c r="H105" s="48">
        <v>15000</v>
      </c>
      <c r="I105" s="48">
        <f t="shared" si="14"/>
        <v>379500</v>
      </c>
      <c r="J105" s="34"/>
    </row>
    <row r="106" spans="1:10" ht="38.25" x14ac:dyDescent="0.25">
      <c r="A106" s="49" t="str">
        <f>IF(B106="","",SUBTOTAL(3,$B$7:B106))</f>
        <v/>
      </c>
      <c r="B106" s="49"/>
      <c r="C106" s="49" t="str">
        <f t="shared" si="13"/>
        <v/>
      </c>
      <c r="D106" s="64" t="s">
        <v>293</v>
      </c>
      <c r="E106" s="63" t="s">
        <v>294</v>
      </c>
      <c r="F106" s="34" t="s">
        <v>10</v>
      </c>
      <c r="G106" s="52">
        <f>6.1*8.8</f>
        <v>53.68</v>
      </c>
      <c r="H106" s="48">
        <v>380000</v>
      </c>
      <c r="I106" s="48">
        <f t="shared" si="14"/>
        <v>20398400</v>
      </c>
      <c r="J106" s="34"/>
    </row>
    <row r="107" spans="1:10" ht="25.5" x14ac:dyDescent="0.25">
      <c r="A107" s="49" t="str">
        <f>IF(B107="","",SUBTOTAL(3,$B$7:B107))</f>
        <v/>
      </c>
      <c r="B107" s="49"/>
      <c r="C107" s="49" t="str">
        <f t="shared" si="13"/>
        <v/>
      </c>
      <c r="D107" s="64" t="s">
        <v>295</v>
      </c>
      <c r="E107" s="63" t="s">
        <v>296</v>
      </c>
      <c r="F107" s="34" t="s">
        <v>10</v>
      </c>
      <c r="G107" s="52">
        <f>8.8*2.3</f>
        <v>20.239999999999998</v>
      </c>
      <c r="H107" s="48">
        <v>550000</v>
      </c>
      <c r="I107" s="48">
        <f t="shared" si="14"/>
        <v>11132000</v>
      </c>
      <c r="J107" s="34"/>
    </row>
    <row r="108" spans="1:10" ht="38.25" x14ac:dyDescent="0.25">
      <c r="A108" s="49" t="str">
        <f>IF(B108="","",SUBTOTAL(3,$B$7:B108))</f>
        <v/>
      </c>
      <c r="B108" s="49"/>
      <c r="C108" s="49" t="str">
        <f t="shared" si="13"/>
        <v/>
      </c>
      <c r="D108" s="64" t="s">
        <v>297</v>
      </c>
      <c r="E108" s="63" t="s">
        <v>298</v>
      </c>
      <c r="F108" s="34" t="s">
        <v>10</v>
      </c>
      <c r="G108" s="52">
        <f>(8*1.4)+(3.2*2.5)+(5.3*3.3)+(3.2*1.1)+(3.2*1.3)+(5*2.8)</f>
        <v>58.370000000000005</v>
      </c>
      <c r="H108" s="48">
        <v>180000</v>
      </c>
      <c r="I108" s="48">
        <f t="shared" si="14"/>
        <v>10506600</v>
      </c>
      <c r="J108" s="34"/>
    </row>
    <row r="109" spans="1:10" ht="21" customHeight="1" x14ac:dyDescent="0.25">
      <c r="A109" s="49" t="str">
        <f>IF(B109="","",SUBTOTAL(3,$B$7:B109))</f>
        <v/>
      </c>
      <c r="B109" s="49"/>
      <c r="C109" s="49" t="str">
        <f t="shared" si="13"/>
        <v/>
      </c>
      <c r="D109" s="64" t="s">
        <v>299</v>
      </c>
      <c r="E109" s="63" t="s">
        <v>300</v>
      </c>
      <c r="F109" s="34" t="s">
        <v>10</v>
      </c>
      <c r="G109" s="52">
        <f>(3.2*2.5)+(3*2.1)</f>
        <v>14.3</v>
      </c>
      <c r="H109" s="48">
        <v>302000</v>
      </c>
      <c r="I109" s="48">
        <f t="shared" si="14"/>
        <v>4318600</v>
      </c>
      <c r="J109" s="34"/>
    </row>
    <row r="110" spans="1:10" ht="38.25" x14ac:dyDescent="0.25">
      <c r="A110" s="49" t="str">
        <f>IF(B110="","",SUBTOTAL(3,$B$7:B110))</f>
        <v/>
      </c>
      <c r="B110" s="49"/>
      <c r="C110" s="49" t="str">
        <f t="shared" si="13"/>
        <v/>
      </c>
      <c r="D110" s="64" t="s">
        <v>241</v>
      </c>
      <c r="E110" s="63" t="s">
        <v>301</v>
      </c>
      <c r="F110" s="34" t="s">
        <v>18</v>
      </c>
      <c r="G110" s="52">
        <f>(3.2*2.65*0.11)+(3.2*0.9*0.11)+(3*1.8*0.11)</f>
        <v>1.8436000000000001</v>
      </c>
      <c r="H110" s="48">
        <v>1714308</v>
      </c>
      <c r="I110" s="48">
        <f t="shared" si="14"/>
        <v>3160498.2288000002</v>
      </c>
      <c r="J110" s="34"/>
    </row>
    <row r="111" spans="1:10" x14ac:dyDescent="0.25">
      <c r="A111" s="49" t="str">
        <f>IF(B111="","",SUBTOTAL(3,$B$7:B111))</f>
        <v/>
      </c>
      <c r="B111" s="49"/>
      <c r="C111" s="49" t="str">
        <f t="shared" si="13"/>
        <v/>
      </c>
      <c r="D111" s="64" t="s">
        <v>184</v>
      </c>
      <c r="E111" s="63" t="s">
        <v>302</v>
      </c>
      <c r="F111" s="34" t="s">
        <v>18</v>
      </c>
      <c r="G111" s="52">
        <f>3*8*0.1</f>
        <v>2.4000000000000004</v>
      </c>
      <c r="H111" s="48">
        <v>1421722</v>
      </c>
      <c r="I111" s="48">
        <f t="shared" si="14"/>
        <v>3412132.8000000003</v>
      </c>
      <c r="J111" s="34"/>
    </row>
    <row r="112" spans="1:10" ht="25.5" x14ac:dyDescent="0.25">
      <c r="A112" s="49" t="str">
        <f>IF(B112="","",SUBTOTAL(3,$B$7:B112))</f>
        <v/>
      </c>
      <c r="B112" s="49"/>
      <c r="C112" s="49" t="str">
        <f t="shared" si="13"/>
        <v/>
      </c>
      <c r="D112" s="64" t="s">
        <v>303</v>
      </c>
      <c r="E112" s="63" t="s">
        <v>304</v>
      </c>
      <c r="F112" s="34" t="s">
        <v>10</v>
      </c>
      <c r="G112" s="52">
        <f>(4.7*8)+(6.7*10.5)</f>
        <v>107.95000000000002</v>
      </c>
      <c r="H112" s="48">
        <v>380000</v>
      </c>
      <c r="I112" s="48">
        <f t="shared" si="14"/>
        <v>41021000.000000007</v>
      </c>
      <c r="J112" s="34"/>
    </row>
    <row r="113" spans="1:10" s="32" customFormat="1" x14ac:dyDescent="0.25">
      <c r="A113" s="49">
        <f>IF(B113="","",SUBTOTAL(3,$B$7:B113))</f>
        <v>8</v>
      </c>
      <c r="B113" s="49" t="s">
        <v>54</v>
      </c>
      <c r="C113" s="49" t="str">
        <f>IF(B113&lt;&gt;"","T. Nà Tạ","")</f>
        <v>T. Nà Tạ</v>
      </c>
      <c r="D113" s="62"/>
      <c r="E113" s="62"/>
      <c r="F113" s="49"/>
      <c r="G113" s="1"/>
      <c r="H113" s="2"/>
      <c r="I113" s="2">
        <f>SUM(I114:I116)</f>
        <v>13312200</v>
      </c>
      <c r="J113" s="34"/>
    </row>
    <row r="114" spans="1:10" ht="25.5" x14ac:dyDescent="0.25">
      <c r="A114" s="49" t="str">
        <f>IF(B114="","",SUBTOTAL(3,$B$7:B114))</f>
        <v/>
      </c>
      <c r="B114" s="49"/>
      <c r="C114" s="49" t="str">
        <f>IF(B114&lt;&gt;"","T. Nà Tạ","")</f>
        <v/>
      </c>
      <c r="D114" s="64" t="s">
        <v>313</v>
      </c>
      <c r="E114" s="63" t="s">
        <v>314</v>
      </c>
      <c r="F114" s="34" t="s">
        <v>10</v>
      </c>
      <c r="G114" s="52">
        <f>18.5*1.2</f>
        <v>22.2</v>
      </c>
      <c r="H114" s="48">
        <v>327000</v>
      </c>
      <c r="I114" s="48">
        <f>G114*H114</f>
        <v>7259400</v>
      </c>
      <c r="J114" s="34"/>
    </row>
    <row r="115" spans="1:10" ht="25.5" x14ac:dyDescent="0.25">
      <c r="A115" s="49" t="str">
        <f>IF(B115="","",SUBTOTAL(3,$B$7:B115))</f>
        <v/>
      </c>
      <c r="B115" s="49"/>
      <c r="C115" s="49" t="str">
        <f>IF(B115&lt;&gt;"","T. Nà Tạ","")</f>
        <v/>
      </c>
      <c r="D115" s="64" t="s">
        <v>315</v>
      </c>
      <c r="E115" s="63"/>
      <c r="F115" s="34" t="s">
        <v>17</v>
      </c>
      <c r="G115" s="52">
        <v>28</v>
      </c>
      <c r="H115" s="48">
        <v>104000</v>
      </c>
      <c r="I115" s="48">
        <f>G115*H115</f>
        <v>2912000</v>
      </c>
      <c r="J115" s="34"/>
    </row>
    <row r="116" spans="1:10" ht="25.5" x14ac:dyDescent="0.25">
      <c r="A116" s="49" t="str">
        <f>IF(B116="","",SUBTOTAL(3,$B$7:B116))</f>
        <v/>
      </c>
      <c r="B116" s="49"/>
      <c r="C116" s="49" t="str">
        <f>IF(B116&lt;&gt;"","T. Nà Tạ","")</f>
        <v/>
      </c>
      <c r="D116" s="64" t="s">
        <v>316</v>
      </c>
      <c r="E116" s="63" t="s">
        <v>317</v>
      </c>
      <c r="F116" s="34" t="s">
        <v>10</v>
      </c>
      <c r="G116" s="52">
        <f>8*1.3</f>
        <v>10.4</v>
      </c>
      <c r="H116" s="48">
        <v>302000</v>
      </c>
      <c r="I116" s="48">
        <f>G116*H116</f>
        <v>3140800</v>
      </c>
      <c r="J116" s="34"/>
    </row>
    <row r="117" spans="1:10" s="32" customFormat="1" ht="54" customHeight="1" x14ac:dyDescent="0.25">
      <c r="A117" s="49">
        <f>IF(B117="","",SUBTOTAL(3,$B$7:B117))</f>
        <v>9</v>
      </c>
      <c r="B117" s="49" t="s">
        <v>320</v>
      </c>
      <c r="C117" s="49" t="str">
        <f t="shared" ref="C117:C119" si="15">IF(B117&lt;&gt;"","T. Nà Tạ","")</f>
        <v>T. Nà Tạ</v>
      </c>
      <c r="D117" s="62"/>
      <c r="E117" s="62"/>
      <c r="F117" s="49"/>
      <c r="G117" s="1"/>
      <c r="H117" s="2"/>
      <c r="I117" s="2">
        <f>(I120-I119)+(I123-I122)</f>
        <v>19451887.685000002</v>
      </c>
      <c r="J117" s="34" t="str">
        <f>'Tong Hop'!M17</f>
        <v>Phê duyệt bổ sung phần chênh lệch do áp dụng đơn giá mới theo Quyết định số 1632/QĐ-UBND ngày 11/9/2023</v>
      </c>
    </row>
    <row r="118" spans="1:10" ht="38.25" x14ac:dyDescent="0.25">
      <c r="A118" s="49" t="str">
        <f>IF(B118="","",SUBTOTAL(3,$B$7:B118))</f>
        <v/>
      </c>
      <c r="B118" s="49"/>
      <c r="C118" s="49" t="str">
        <f t="shared" si="15"/>
        <v/>
      </c>
      <c r="D118" s="62" t="s">
        <v>328</v>
      </c>
      <c r="E118" s="63"/>
      <c r="F118" s="34"/>
      <c r="G118" s="52"/>
      <c r="H118" s="48"/>
      <c r="I118" s="48"/>
      <c r="J118" s="34"/>
    </row>
    <row r="119" spans="1:10" x14ac:dyDescent="0.25">
      <c r="A119" s="49" t="str">
        <f>IF(B119="","",SUBTOTAL(3,$B$7:B119))</f>
        <v/>
      </c>
      <c r="B119" s="49"/>
      <c r="C119" s="49" t="str">
        <f t="shared" si="15"/>
        <v/>
      </c>
      <c r="D119" s="64" t="s">
        <v>168</v>
      </c>
      <c r="E119" s="63" t="s">
        <v>329</v>
      </c>
      <c r="F119" s="34" t="s">
        <v>10</v>
      </c>
      <c r="G119" s="52">
        <f>4.6*4.9</f>
        <v>22.54</v>
      </c>
      <c r="H119" s="48">
        <v>780515</v>
      </c>
      <c r="I119" s="48">
        <f t="shared" ref="I119:I120" si="16">G119*H119</f>
        <v>17592808.099999998</v>
      </c>
      <c r="J119" s="34"/>
    </row>
    <row r="120" spans="1:10" x14ac:dyDescent="0.25">
      <c r="A120" s="34"/>
      <c r="B120" s="49"/>
      <c r="C120" s="49"/>
      <c r="D120" s="64" t="s">
        <v>168</v>
      </c>
      <c r="E120" s="63" t="s">
        <v>329</v>
      </c>
      <c r="F120" s="34" t="s">
        <v>10</v>
      </c>
      <c r="G120" s="52">
        <f>4.6*4.9</f>
        <v>22.54</v>
      </c>
      <c r="H120" s="48">
        <v>1241437</v>
      </c>
      <c r="I120" s="48">
        <f t="shared" si="16"/>
        <v>27981989.98</v>
      </c>
      <c r="J120" s="34"/>
    </row>
    <row r="121" spans="1:10" ht="38.25" x14ac:dyDescent="0.25">
      <c r="A121" s="49" t="str">
        <f>IF(B121="","",SUBTOTAL(3,$B$7:B121))</f>
        <v/>
      </c>
      <c r="B121" s="49"/>
      <c r="C121" s="49" t="str">
        <f t="shared" ref="C121:C122" si="17">IF(B121&lt;&gt;"","T. Nà Tạ","")</f>
        <v/>
      </c>
      <c r="D121" s="62" t="s">
        <v>330</v>
      </c>
      <c r="E121" s="63"/>
      <c r="F121" s="34"/>
      <c r="G121" s="52"/>
      <c r="H121" s="48"/>
      <c r="I121" s="48"/>
      <c r="J121" s="34"/>
    </row>
    <row r="122" spans="1:10" x14ac:dyDescent="0.25">
      <c r="A122" s="49" t="str">
        <f>IF(B122="","",SUBTOTAL(3,$B$7:B122))</f>
        <v/>
      </c>
      <c r="B122" s="49"/>
      <c r="C122" s="49" t="str">
        <f t="shared" si="17"/>
        <v/>
      </c>
      <c r="D122" s="64" t="s">
        <v>168</v>
      </c>
      <c r="E122" s="63" t="s">
        <v>331</v>
      </c>
      <c r="F122" s="34" t="s">
        <v>10</v>
      </c>
      <c r="G122" s="52">
        <f>5.15*6.15</f>
        <v>31.672500000000003</v>
      </c>
      <c r="H122" s="48">
        <v>578497</v>
      </c>
      <c r="I122" s="48">
        <f t="shared" ref="I122:I123" si="18">G122*H122</f>
        <v>18322446.232500002</v>
      </c>
      <c r="J122" s="34"/>
    </row>
    <row r="123" spans="1:10" x14ac:dyDescent="0.25">
      <c r="A123" s="34"/>
      <c r="B123" s="49"/>
      <c r="C123" s="49"/>
      <c r="D123" s="64" t="s">
        <v>168</v>
      </c>
      <c r="E123" s="63" t="s">
        <v>331</v>
      </c>
      <c r="F123" s="34" t="s">
        <v>10</v>
      </c>
      <c r="G123" s="52">
        <f>5.15*6.15</f>
        <v>31.672500000000003</v>
      </c>
      <c r="H123" s="48">
        <v>864635</v>
      </c>
      <c r="I123" s="48">
        <f t="shared" si="18"/>
        <v>27385152.037500001</v>
      </c>
      <c r="J123" s="34"/>
    </row>
    <row r="124" spans="1:10" s="32" customFormat="1" ht="48" customHeight="1" x14ac:dyDescent="0.25">
      <c r="A124" s="49">
        <f>IF(B124="","",SUBTOTAL(3,$B$7:B124))</f>
        <v>10</v>
      </c>
      <c r="B124" s="49" t="s">
        <v>332</v>
      </c>
      <c r="C124" s="49" t="str">
        <f t="shared" ref="C124:C126" si="19">IF(B124&lt;&gt;"","T. Nà Tạ","")</f>
        <v>T. Nà Tạ</v>
      </c>
      <c r="D124" s="67"/>
      <c r="E124" s="62"/>
      <c r="F124" s="49"/>
      <c r="G124" s="1"/>
      <c r="H124" s="2"/>
      <c r="I124" s="2">
        <f>I127-I126</f>
        <v>12122418</v>
      </c>
      <c r="J124" s="34" t="str">
        <f>'Tong Hop'!M18</f>
        <v>Phê duyệt bổ sung phần chênh lệch do áp dụng đơn giá mới theo Quyết định số 1632/QĐ-UBND ngày 11/9/2023</v>
      </c>
    </row>
    <row r="125" spans="1:10" ht="25.5" x14ac:dyDescent="0.25">
      <c r="A125" s="49" t="str">
        <f>IF(B125="","",SUBTOTAL(3,$B$7:B125))</f>
        <v/>
      </c>
      <c r="B125" s="49"/>
      <c r="C125" s="49" t="str">
        <f t="shared" si="19"/>
        <v/>
      </c>
      <c r="D125" s="62" t="s">
        <v>333</v>
      </c>
      <c r="E125" s="63"/>
      <c r="F125" s="34"/>
      <c r="G125" s="52"/>
      <c r="H125" s="48"/>
      <c r="I125" s="48">
        <f t="shared" ref="I125:I127" si="20">G125*H125</f>
        <v>0</v>
      </c>
      <c r="J125" s="34"/>
    </row>
    <row r="126" spans="1:10" x14ac:dyDescent="0.25">
      <c r="A126" s="49" t="str">
        <f>IF(B126="","",SUBTOTAL(3,$B$7:B126))</f>
        <v/>
      </c>
      <c r="B126" s="49"/>
      <c r="C126" s="49" t="str">
        <f t="shared" si="19"/>
        <v/>
      </c>
      <c r="D126" s="63" t="s">
        <v>334</v>
      </c>
      <c r="E126" s="63" t="s">
        <v>335</v>
      </c>
      <c r="F126" s="34" t="s">
        <v>10</v>
      </c>
      <c r="G126" s="52">
        <f>5*7.6</f>
        <v>38</v>
      </c>
      <c r="H126" s="48">
        <v>780515</v>
      </c>
      <c r="I126" s="48">
        <f t="shared" si="20"/>
        <v>29659570</v>
      </c>
      <c r="J126" s="34"/>
    </row>
    <row r="127" spans="1:10" x14ac:dyDescent="0.25">
      <c r="A127" s="34"/>
      <c r="B127" s="49"/>
      <c r="C127" s="49"/>
      <c r="D127" s="63" t="s">
        <v>334</v>
      </c>
      <c r="E127" s="63" t="s">
        <v>335</v>
      </c>
      <c r="F127" s="34" t="s">
        <v>10</v>
      </c>
      <c r="G127" s="52">
        <f>5*7.6</f>
        <v>38</v>
      </c>
      <c r="H127" s="48">
        <v>1099526</v>
      </c>
      <c r="I127" s="48">
        <f t="shared" si="20"/>
        <v>41781988</v>
      </c>
      <c r="J127" s="34"/>
    </row>
    <row r="128" spans="1:10" x14ac:dyDescent="0.25">
      <c r="A128" s="185" t="s">
        <v>340</v>
      </c>
      <c r="B128" s="185"/>
      <c r="C128" s="185"/>
      <c r="D128" s="5"/>
      <c r="E128" s="5"/>
      <c r="F128" s="5"/>
      <c r="G128" s="5"/>
      <c r="H128" s="5"/>
      <c r="I128" s="5">
        <f>SUM(I7,I36,I60,I68,I75,I97,I103,I113,I117,I124)</f>
        <v>291531847.43602002</v>
      </c>
      <c r="J128" s="49"/>
    </row>
    <row r="129" spans="1:10" x14ac:dyDescent="0.25">
      <c r="A129" s="185" t="s">
        <v>341</v>
      </c>
      <c r="B129" s="185"/>
      <c r="C129" s="185"/>
      <c r="D129" s="5"/>
      <c r="E129" s="5"/>
      <c r="F129" s="5"/>
      <c r="G129" s="5"/>
      <c r="H129" s="5"/>
      <c r="I129" s="5">
        <f t="shared" ref="I129" si="21">SUM(I40)</f>
        <v>181538714.73630002</v>
      </c>
      <c r="J129" s="49"/>
    </row>
    <row r="434" spans="2:5" s="33" customFormat="1" ht="15" customHeight="1" x14ac:dyDescent="0.25">
      <c r="B434" s="37"/>
      <c r="C434" s="42"/>
      <c r="D434" s="60"/>
      <c r="E434" s="60"/>
    </row>
  </sheetData>
  <mergeCells count="6">
    <mergeCell ref="A128:C128"/>
    <mergeCell ref="A129:C129"/>
    <mergeCell ref="A4:J4"/>
    <mergeCell ref="A1:J1"/>
    <mergeCell ref="A2:J2"/>
    <mergeCell ref="A3:J3"/>
  </mergeCells>
  <pageMargins left="0.25" right="0" top="0.17" bottom="0" header="0.17" footer="0.17"/>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6"/>
  <sheetViews>
    <sheetView topLeftCell="A13" zoomScale="115" zoomScaleNormal="115" zoomScaleSheetLayoutView="115" workbookViewId="0">
      <selection activeCell="E16" sqref="E16"/>
    </sheetView>
  </sheetViews>
  <sheetFormatPr defaultColWidth="9.140625" defaultRowHeight="14.1" customHeight="1" x14ac:dyDescent="0.25"/>
  <cols>
    <col min="1" max="1" width="5" style="46" customWidth="1"/>
    <col min="2" max="2" width="16.5703125" style="46" customWidth="1"/>
    <col min="3" max="3" width="10.5703125" style="167" customWidth="1"/>
    <col min="4" max="4" width="15.7109375" style="46" customWidth="1"/>
    <col min="5" max="5" width="24.42578125" style="168" customWidth="1"/>
    <col min="6" max="6" width="7.140625" style="46" customWidth="1"/>
    <col min="7" max="7" width="9.28515625" style="46" bestFit="1" customWidth="1"/>
    <col min="8" max="8" width="10.42578125" style="46" bestFit="1" customWidth="1"/>
    <col min="9" max="9" width="12.140625" style="46" customWidth="1"/>
    <col min="10" max="10" width="17.140625" style="168" customWidth="1"/>
    <col min="11" max="16384" width="9.140625" style="46"/>
  </cols>
  <sheetData>
    <row r="1" spans="1:10" ht="24" customHeight="1" x14ac:dyDescent="0.25">
      <c r="A1" s="183" t="s">
        <v>367</v>
      </c>
      <c r="B1" s="183"/>
      <c r="C1" s="183"/>
      <c r="D1" s="183"/>
      <c r="E1" s="183"/>
      <c r="F1" s="183"/>
      <c r="G1" s="183"/>
      <c r="H1" s="183"/>
      <c r="I1" s="183"/>
      <c r="J1" s="183"/>
    </row>
    <row r="2" spans="1:10" s="141" customFormat="1" ht="20.100000000000001" customHeight="1" x14ac:dyDescent="0.25">
      <c r="A2" s="183" t="s">
        <v>98</v>
      </c>
      <c r="B2" s="183"/>
      <c r="C2" s="183"/>
      <c r="D2" s="183"/>
      <c r="E2" s="183"/>
      <c r="F2" s="183"/>
      <c r="G2" s="183"/>
      <c r="H2" s="183"/>
      <c r="I2" s="183"/>
      <c r="J2" s="183"/>
    </row>
    <row r="3" spans="1:10" s="141" customFormat="1" ht="20.100000000000001" customHeight="1" x14ac:dyDescent="0.25">
      <c r="A3" s="183" t="s">
        <v>101</v>
      </c>
      <c r="B3" s="183"/>
      <c r="C3" s="183"/>
      <c r="D3" s="183"/>
      <c r="E3" s="183"/>
      <c r="F3" s="183"/>
      <c r="G3" s="183"/>
      <c r="H3" s="183"/>
      <c r="I3" s="183"/>
      <c r="J3" s="183"/>
    </row>
    <row r="4" spans="1:10" s="141" customFormat="1" ht="20.100000000000001" customHeight="1" x14ac:dyDescent="0.25">
      <c r="A4" s="186" t="str">
        <f>'Tong Hop'!A4:L4</f>
        <v>(Kèm theo Quyết định số …../QĐ-UBND ngày …. tháng 01 năm 2024 của UBND huyện Ba Bể)</v>
      </c>
      <c r="B4" s="186"/>
      <c r="C4" s="186"/>
      <c r="D4" s="186"/>
      <c r="E4" s="186"/>
      <c r="F4" s="186"/>
      <c r="G4" s="186"/>
      <c r="H4" s="186"/>
      <c r="I4" s="186"/>
      <c r="J4" s="186"/>
    </row>
    <row r="5" spans="1:10" s="141" customFormat="1" ht="20.100000000000001" customHeight="1" x14ac:dyDescent="0.25">
      <c r="B5" s="117"/>
      <c r="C5" s="117"/>
      <c r="D5" s="142"/>
      <c r="E5" s="143"/>
      <c r="I5" s="117" t="s">
        <v>99</v>
      </c>
      <c r="J5" s="143"/>
    </row>
    <row r="6" spans="1:10" s="145" customFormat="1" ht="33" customHeight="1" x14ac:dyDescent="0.25">
      <c r="A6" s="144" t="s">
        <v>0</v>
      </c>
      <c r="B6" s="144" t="s">
        <v>1</v>
      </c>
      <c r="C6" s="144" t="s">
        <v>19</v>
      </c>
      <c r="D6" s="136" t="s">
        <v>20</v>
      </c>
      <c r="E6" s="136" t="s">
        <v>21</v>
      </c>
      <c r="F6" s="136" t="s">
        <v>86</v>
      </c>
      <c r="G6" s="44" t="s">
        <v>22</v>
      </c>
      <c r="H6" s="137" t="s">
        <v>5</v>
      </c>
      <c r="I6" s="137" t="s">
        <v>6</v>
      </c>
      <c r="J6" s="136" t="s">
        <v>7</v>
      </c>
    </row>
    <row r="7" spans="1:10" s="45" customFormat="1" ht="21.75" customHeight="1" x14ac:dyDescent="0.25">
      <c r="A7" s="146">
        <f>IF(B7="","",SUBTOTAL(3,$B$7:B7))</f>
        <v>1</v>
      </c>
      <c r="B7" s="147" t="s">
        <v>40</v>
      </c>
      <c r="C7" s="148" t="s">
        <v>8</v>
      </c>
      <c r="D7" s="147"/>
      <c r="E7" s="136"/>
      <c r="F7" s="135"/>
      <c r="G7" s="149"/>
      <c r="H7" s="150"/>
      <c r="I7" s="150">
        <f>SUM(I8:I21)</f>
        <v>4411000</v>
      </c>
      <c r="J7" s="136"/>
    </row>
    <row r="8" spans="1:10" ht="14.1" customHeight="1" x14ac:dyDescent="0.25">
      <c r="A8" s="146" t="str">
        <f>IF(B8="","",SUBTOTAL(3,$B$7:B8))</f>
        <v/>
      </c>
      <c r="B8" s="151"/>
      <c r="C8" s="148"/>
      <c r="D8" s="151" t="s">
        <v>41</v>
      </c>
      <c r="E8" s="57" t="s">
        <v>46</v>
      </c>
      <c r="F8" s="120" t="s">
        <v>23</v>
      </c>
      <c r="G8" s="152">
        <v>1</v>
      </c>
      <c r="H8" s="132">
        <v>536000</v>
      </c>
      <c r="I8" s="132">
        <f t="shared" ref="I8:I21" si="0">G8*H8</f>
        <v>536000</v>
      </c>
      <c r="J8" s="57"/>
    </row>
    <row r="9" spans="1:10" ht="14.1" customHeight="1" x14ac:dyDescent="0.25">
      <c r="A9" s="146" t="str">
        <f>IF(B9="","",SUBTOTAL(3,$B$7:B9))</f>
        <v/>
      </c>
      <c r="B9" s="151"/>
      <c r="C9" s="148"/>
      <c r="D9" s="151" t="s">
        <v>41</v>
      </c>
      <c r="E9" s="57" t="s">
        <v>47</v>
      </c>
      <c r="F9" s="120" t="s">
        <v>23</v>
      </c>
      <c r="G9" s="152">
        <v>2</v>
      </c>
      <c r="H9" s="132">
        <v>32000</v>
      </c>
      <c r="I9" s="132">
        <f t="shared" si="0"/>
        <v>64000</v>
      </c>
      <c r="J9" s="57"/>
    </row>
    <row r="10" spans="1:10" ht="14.1" customHeight="1" x14ac:dyDescent="0.25">
      <c r="A10" s="146" t="str">
        <f>IF(B10="","",SUBTOTAL(3,$B$7:B10))</f>
        <v/>
      </c>
      <c r="B10" s="151"/>
      <c r="C10" s="148"/>
      <c r="D10" s="151" t="s">
        <v>34</v>
      </c>
      <c r="E10" s="57" t="s">
        <v>24</v>
      </c>
      <c r="F10" s="120" t="s">
        <v>23</v>
      </c>
      <c r="G10" s="152">
        <v>2</v>
      </c>
      <c r="H10" s="132">
        <v>216000</v>
      </c>
      <c r="I10" s="132">
        <f t="shared" si="0"/>
        <v>432000</v>
      </c>
      <c r="J10" s="57"/>
    </row>
    <row r="11" spans="1:10" ht="14.1" customHeight="1" x14ac:dyDescent="0.25">
      <c r="A11" s="146" t="str">
        <f>IF(B11="","",SUBTOTAL(3,$B$7:B11))</f>
        <v/>
      </c>
      <c r="B11" s="151"/>
      <c r="C11" s="148"/>
      <c r="D11" s="151" t="s">
        <v>34</v>
      </c>
      <c r="E11" s="57" t="s">
        <v>47</v>
      </c>
      <c r="F11" s="120" t="s">
        <v>23</v>
      </c>
      <c r="G11" s="152">
        <v>2</v>
      </c>
      <c r="H11" s="132">
        <v>50000</v>
      </c>
      <c r="I11" s="132">
        <f t="shared" si="0"/>
        <v>100000</v>
      </c>
      <c r="J11" s="57"/>
    </row>
    <row r="12" spans="1:10" ht="14.1" customHeight="1" x14ac:dyDescent="0.25">
      <c r="A12" s="146" t="str">
        <f>IF(B12="","",SUBTOTAL(3,$B$7:B12))</f>
        <v/>
      </c>
      <c r="B12" s="151"/>
      <c r="C12" s="148"/>
      <c r="D12" s="151" t="s">
        <v>33</v>
      </c>
      <c r="E12" s="57" t="s">
        <v>37</v>
      </c>
      <c r="F12" s="120" t="s">
        <v>23</v>
      </c>
      <c r="G12" s="152">
        <v>2</v>
      </c>
      <c r="H12" s="132">
        <v>11000</v>
      </c>
      <c r="I12" s="132">
        <f t="shared" si="0"/>
        <v>22000</v>
      </c>
      <c r="J12" s="57"/>
    </row>
    <row r="13" spans="1:10" ht="14.1" customHeight="1" x14ac:dyDescent="0.25">
      <c r="A13" s="146" t="str">
        <f>IF(B13="","",SUBTOTAL(3,$B$7:B13))</f>
        <v/>
      </c>
      <c r="B13" s="151"/>
      <c r="C13" s="148"/>
      <c r="D13" s="151" t="s">
        <v>29</v>
      </c>
      <c r="E13" s="57" t="s">
        <v>47</v>
      </c>
      <c r="F13" s="120" t="s">
        <v>23</v>
      </c>
      <c r="G13" s="152">
        <v>2</v>
      </c>
      <c r="H13" s="132">
        <v>22000</v>
      </c>
      <c r="I13" s="132">
        <f t="shared" si="0"/>
        <v>44000</v>
      </c>
      <c r="J13" s="57"/>
    </row>
    <row r="14" spans="1:10" ht="14.1" customHeight="1" x14ac:dyDescent="0.25">
      <c r="A14" s="146" t="str">
        <f>IF(B14="","",SUBTOTAL(3,$B$7:B14))</f>
        <v/>
      </c>
      <c r="B14" s="151"/>
      <c r="C14" s="148"/>
      <c r="D14" s="151" t="s">
        <v>42</v>
      </c>
      <c r="E14" s="57" t="s">
        <v>79</v>
      </c>
      <c r="F14" s="120" t="s">
        <v>23</v>
      </c>
      <c r="G14" s="152">
        <v>1</v>
      </c>
      <c r="H14" s="132">
        <v>17000</v>
      </c>
      <c r="I14" s="132">
        <f t="shared" si="0"/>
        <v>17000</v>
      </c>
      <c r="J14" s="57"/>
    </row>
    <row r="15" spans="1:10" ht="14.1" customHeight="1" x14ac:dyDescent="0.25">
      <c r="A15" s="146" t="str">
        <f>IF(B15="","",SUBTOTAL(3,$B$7:B15))</f>
        <v/>
      </c>
      <c r="B15" s="151"/>
      <c r="C15" s="148"/>
      <c r="D15" s="151" t="s">
        <v>43</v>
      </c>
      <c r="E15" s="57"/>
      <c r="F15" s="120" t="s">
        <v>10</v>
      </c>
      <c r="G15" s="152">
        <v>1</v>
      </c>
      <c r="H15" s="132">
        <v>11000</v>
      </c>
      <c r="I15" s="132">
        <f t="shared" si="0"/>
        <v>11000</v>
      </c>
      <c r="J15" s="57"/>
    </row>
    <row r="16" spans="1:10" ht="14.1" customHeight="1" x14ac:dyDescent="0.25">
      <c r="A16" s="146" t="str">
        <f>IF(B16="","",SUBTOTAL(3,$B$7:B16))</f>
        <v/>
      </c>
      <c r="B16" s="151"/>
      <c r="C16" s="148"/>
      <c r="D16" s="151" t="s">
        <v>44</v>
      </c>
      <c r="E16" s="57"/>
      <c r="F16" s="120" t="s">
        <v>10</v>
      </c>
      <c r="G16" s="152">
        <v>1</v>
      </c>
      <c r="H16" s="132">
        <v>11000</v>
      </c>
      <c r="I16" s="132">
        <f t="shared" si="0"/>
        <v>11000</v>
      </c>
      <c r="J16" s="57"/>
    </row>
    <row r="17" spans="1:10" ht="14.1" customHeight="1" x14ac:dyDescent="0.25">
      <c r="A17" s="146" t="str">
        <f>IF(B17="","",SUBTOTAL(3,$B$7:B17))</f>
        <v/>
      </c>
      <c r="B17" s="151"/>
      <c r="C17" s="148"/>
      <c r="D17" s="151" t="s">
        <v>35</v>
      </c>
      <c r="E17" s="57"/>
      <c r="F17" s="120" t="s">
        <v>23</v>
      </c>
      <c r="G17" s="152">
        <v>13</v>
      </c>
      <c r="H17" s="132">
        <v>17000</v>
      </c>
      <c r="I17" s="132">
        <f t="shared" si="0"/>
        <v>221000</v>
      </c>
      <c r="J17" s="57"/>
    </row>
    <row r="18" spans="1:10" ht="14.1" customHeight="1" x14ac:dyDescent="0.25">
      <c r="A18" s="146" t="str">
        <f>IF(B18="","",SUBTOTAL(3,$B$7:B18))</f>
        <v/>
      </c>
      <c r="B18" s="151"/>
      <c r="C18" s="148"/>
      <c r="D18" s="151" t="s">
        <v>30</v>
      </c>
      <c r="E18" s="57" t="s">
        <v>32</v>
      </c>
      <c r="F18" s="120" t="s">
        <v>23</v>
      </c>
      <c r="G18" s="152">
        <v>20</v>
      </c>
      <c r="H18" s="132">
        <v>16000</v>
      </c>
      <c r="I18" s="132">
        <f t="shared" si="0"/>
        <v>320000</v>
      </c>
      <c r="J18" s="57"/>
    </row>
    <row r="19" spans="1:10" ht="14.1" customHeight="1" x14ac:dyDescent="0.25">
      <c r="A19" s="146" t="str">
        <f>IF(B19="","",SUBTOTAL(3,$B$7:B19))</f>
        <v/>
      </c>
      <c r="B19" s="151"/>
      <c r="C19" s="148"/>
      <c r="D19" s="151" t="s">
        <v>26</v>
      </c>
      <c r="E19" s="57" t="s">
        <v>25</v>
      </c>
      <c r="F19" s="120" t="s">
        <v>23</v>
      </c>
      <c r="G19" s="152">
        <v>45</v>
      </c>
      <c r="H19" s="132">
        <v>50000</v>
      </c>
      <c r="I19" s="132">
        <f t="shared" si="0"/>
        <v>2250000</v>
      </c>
      <c r="J19" s="57"/>
    </row>
    <row r="20" spans="1:10" ht="14.1" customHeight="1" x14ac:dyDescent="0.25">
      <c r="A20" s="146" t="str">
        <f>IF(B20="","",SUBTOTAL(3,$B$7:B20))</f>
        <v/>
      </c>
      <c r="B20" s="151"/>
      <c r="C20" s="148"/>
      <c r="D20" s="151" t="s">
        <v>27</v>
      </c>
      <c r="E20" s="57" t="s">
        <v>48</v>
      </c>
      <c r="F20" s="120" t="s">
        <v>23</v>
      </c>
      <c r="G20" s="152">
        <v>46</v>
      </c>
      <c r="H20" s="132">
        <v>5500</v>
      </c>
      <c r="I20" s="132">
        <f t="shared" si="0"/>
        <v>253000</v>
      </c>
      <c r="J20" s="57"/>
    </row>
    <row r="21" spans="1:10" ht="14.1" customHeight="1" x14ac:dyDescent="0.25">
      <c r="A21" s="146" t="str">
        <f>IF(B21="","",SUBTOTAL(3,$B$7:B21))</f>
        <v/>
      </c>
      <c r="B21" s="151"/>
      <c r="C21" s="148"/>
      <c r="D21" s="151" t="s">
        <v>45</v>
      </c>
      <c r="E21" s="57" t="s">
        <v>110</v>
      </c>
      <c r="F21" s="120" t="s">
        <v>23</v>
      </c>
      <c r="G21" s="152">
        <v>1</v>
      </c>
      <c r="H21" s="132">
        <v>130000</v>
      </c>
      <c r="I21" s="132">
        <f t="shared" si="0"/>
        <v>130000</v>
      </c>
      <c r="J21" s="57"/>
    </row>
    <row r="22" spans="1:10" s="158" customFormat="1" ht="14.1" customHeight="1" x14ac:dyDescent="0.25">
      <c r="A22" s="153">
        <f>IF(B22="","",SUBTOTAL(3,$B$7:B22))</f>
        <v>2</v>
      </c>
      <c r="B22" s="154" t="s">
        <v>165</v>
      </c>
      <c r="C22" s="153" t="s">
        <v>8</v>
      </c>
      <c r="D22" s="154"/>
      <c r="E22" s="138"/>
      <c r="F22" s="155"/>
      <c r="G22" s="156"/>
      <c r="H22" s="157"/>
      <c r="I22" s="157">
        <f>SUM(I23:I34)</f>
        <v>3211000</v>
      </c>
      <c r="J22" s="138"/>
    </row>
    <row r="23" spans="1:10" s="164" customFormat="1" ht="14.1" customHeight="1" x14ac:dyDescent="0.25">
      <c r="A23" s="153" t="str">
        <f>IF(B23="","",SUBTOTAL(3,$B$7:B23))</f>
        <v/>
      </c>
      <c r="B23" s="159"/>
      <c r="C23" s="160"/>
      <c r="D23" s="159" t="s">
        <v>199</v>
      </c>
      <c r="E23" s="161" t="s">
        <v>200</v>
      </c>
      <c r="F23" s="104" t="s">
        <v>23</v>
      </c>
      <c r="G23" s="162">
        <v>3</v>
      </c>
      <c r="H23" s="163">
        <v>75000</v>
      </c>
      <c r="I23" s="163">
        <f t="shared" ref="I23:I34" si="1">G23*H23</f>
        <v>225000</v>
      </c>
      <c r="J23" s="161"/>
    </row>
    <row r="24" spans="1:10" s="164" customFormat="1" ht="14.1" customHeight="1" x14ac:dyDescent="0.25">
      <c r="A24" s="153" t="str">
        <f>IF(B24="","",SUBTOTAL(3,$B$7:B24))</f>
        <v/>
      </c>
      <c r="B24" s="159"/>
      <c r="C24" s="160"/>
      <c r="D24" s="159" t="s">
        <v>201</v>
      </c>
      <c r="E24" s="161" t="s">
        <v>202</v>
      </c>
      <c r="F24" s="104" t="s">
        <v>23</v>
      </c>
      <c r="G24" s="162">
        <v>6</v>
      </c>
      <c r="H24" s="163">
        <v>54000</v>
      </c>
      <c r="I24" s="163">
        <f t="shared" si="1"/>
        <v>324000</v>
      </c>
      <c r="J24" s="161"/>
    </row>
    <row r="25" spans="1:10" s="164" customFormat="1" ht="14.1" customHeight="1" x14ac:dyDescent="0.25">
      <c r="A25" s="153" t="str">
        <f>IF(B25="","",SUBTOTAL(3,$B$7:B25))</f>
        <v/>
      </c>
      <c r="B25" s="159"/>
      <c r="C25" s="160"/>
      <c r="D25" s="159" t="s">
        <v>26</v>
      </c>
      <c r="E25" s="161" t="s">
        <v>25</v>
      </c>
      <c r="F25" s="104" t="s">
        <v>23</v>
      </c>
      <c r="G25" s="162">
        <v>40</v>
      </c>
      <c r="H25" s="163">
        <v>50000</v>
      </c>
      <c r="I25" s="163">
        <f t="shared" si="1"/>
        <v>2000000</v>
      </c>
      <c r="J25" s="161"/>
    </row>
    <row r="26" spans="1:10" s="164" customFormat="1" ht="14.1" customHeight="1" x14ac:dyDescent="0.25">
      <c r="A26" s="153" t="str">
        <f>IF(B26="","",SUBTOTAL(3,$B$7:B26))</f>
        <v/>
      </c>
      <c r="B26" s="159"/>
      <c r="C26" s="160"/>
      <c r="D26" s="159" t="s">
        <v>203</v>
      </c>
      <c r="E26" s="161" t="s">
        <v>204</v>
      </c>
      <c r="F26" s="104" t="s">
        <v>23</v>
      </c>
      <c r="G26" s="162">
        <v>1</v>
      </c>
      <c r="H26" s="163">
        <v>11000</v>
      </c>
      <c r="I26" s="163">
        <f t="shared" si="1"/>
        <v>11000</v>
      </c>
      <c r="J26" s="161"/>
    </row>
    <row r="27" spans="1:10" s="164" customFormat="1" ht="14.1" customHeight="1" x14ac:dyDescent="0.25">
      <c r="A27" s="153" t="str">
        <f>IF(B27="","",SUBTOTAL(3,$B$7:B27))</f>
        <v/>
      </c>
      <c r="B27" s="159"/>
      <c r="C27" s="160"/>
      <c r="D27" s="159" t="s">
        <v>205</v>
      </c>
      <c r="E27" s="161" t="s">
        <v>202</v>
      </c>
      <c r="F27" s="104" t="s">
        <v>23</v>
      </c>
      <c r="G27" s="162">
        <v>1</v>
      </c>
      <c r="H27" s="163">
        <v>108000</v>
      </c>
      <c r="I27" s="163">
        <f t="shared" si="1"/>
        <v>108000</v>
      </c>
      <c r="J27" s="161"/>
    </row>
    <row r="28" spans="1:10" s="164" customFormat="1" ht="14.1" customHeight="1" x14ac:dyDescent="0.25">
      <c r="A28" s="153" t="str">
        <f>IF(B28="","",SUBTOTAL(3,$B$7:B28))</f>
        <v/>
      </c>
      <c r="B28" s="159"/>
      <c r="C28" s="160"/>
      <c r="D28" s="159" t="s">
        <v>29</v>
      </c>
      <c r="E28" s="161" t="s">
        <v>24</v>
      </c>
      <c r="F28" s="104" t="s">
        <v>23</v>
      </c>
      <c r="G28" s="162">
        <v>2</v>
      </c>
      <c r="H28" s="163">
        <v>108000</v>
      </c>
      <c r="I28" s="163">
        <f t="shared" si="1"/>
        <v>216000</v>
      </c>
      <c r="J28" s="161"/>
    </row>
    <row r="29" spans="1:10" s="164" customFormat="1" ht="14.1" customHeight="1" x14ac:dyDescent="0.25">
      <c r="A29" s="153" t="str">
        <f>IF(B29="","",SUBTOTAL(3,$B$7:B29))</f>
        <v/>
      </c>
      <c r="B29" s="159"/>
      <c r="C29" s="160"/>
      <c r="D29" s="159" t="s">
        <v>206</v>
      </c>
      <c r="E29" s="161"/>
      <c r="F29" s="104" t="s">
        <v>10</v>
      </c>
      <c r="G29" s="162">
        <v>2</v>
      </c>
      <c r="H29" s="163">
        <v>11000</v>
      </c>
      <c r="I29" s="163">
        <f t="shared" si="1"/>
        <v>22000</v>
      </c>
      <c r="J29" s="161"/>
    </row>
    <row r="30" spans="1:10" s="164" customFormat="1" ht="14.1" customHeight="1" x14ac:dyDescent="0.25">
      <c r="A30" s="153" t="str">
        <f>IF(B30="","",SUBTOTAL(3,$B$7:B30))</f>
        <v/>
      </c>
      <c r="B30" s="159"/>
      <c r="C30" s="160"/>
      <c r="D30" s="159" t="s">
        <v>33</v>
      </c>
      <c r="E30" s="161" t="s">
        <v>207</v>
      </c>
      <c r="F30" s="104" t="s">
        <v>23</v>
      </c>
      <c r="G30" s="162">
        <v>2</v>
      </c>
      <c r="H30" s="163">
        <v>76000</v>
      </c>
      <c r="I30" s="163">
        <f t="shared" si="1"/>
        <v>152000</v>
      </c>
      <c r="J30" s="161"/>
    </row>
    <row r="31" spans="1:10" s="164" customFormat="1" ht="14.1" customHeight="1" x14ac:dyDescent="0.25">
      <c r="A31" s="153" t="str">
        <f>IF(B31="","",SUBTOTAL(3,$B$7:B31))</f>
        <v/>
      </c>
      <c r="B31" s="159"/>
      <c r="C31" s="160"/>
      <c r="D31" s="159" t="s">
        <v>208</v>
      </c>
      <c r="E31" s="161" t="s">
        <v>209</v>
      </c>
      <c r="F31" s="104" t="s">
        <v>210</v>
      </c>
      <c r="G31" s="162">
        <v>1</v>
      </c>
      <c r="H31" s="163">
        <v>43000</v>
      </c>
      <c r="I31" s="163">
        <f t="shared" si="1"/>
        <v>43000</v>
      </c>
      <c r="J31" s="161"/>
    </row>
    <row r="32" spans="1:10" s="164" customFormat="1" ht="14.1" customHeight="1" x14ac:dyDescent="0.25">
      <c r="A32" s="153" t="str">
        <f>IF(B32="","",SUBTOTAL(3,$B$7:B32))</f>
        <v/>
      </c>
      <c r="B32" s="159"/>
      <c r="C32" s="160"/>
      <c r="D32" s="159" t="s">
        <v>211</v>
      </c>
      <c r="E32" s="161" t="s">
        <v>212</v>
      </c>
      <c r="F32" s="104" t="s">
        <v>23</v>
      </c>
      <c r="G32" s="162">
        <v>2</v>
      </c>
      <c r="H32" s="163">
        <v>17000</v>
      </c>
      <c r="I32" s="163">
        <f t="shared" si="1"/>
        <v>34000</v>
      </c>
      <c r="J32" s="161"/>
    </row>
    <row r="33" spans="1:10" s="164" customFormat="1" ht="14.1" customHeight="1" x14ac:dyDescent="0.25">
      <c r="A33" s="153" t="str">
        <f>IF(B33="","",SUBTOTAL(3,$B$7:B33))</f>
        <v/>
      </c>
      <c r="B33" s="159"/>
      <c r="C33" s="160"/>
      <c r="D33" s="159" t="s">
        <v>213</v>
      </c>
      <c r="E33" s="161" t="s">
        <v>214</v>
      </c>
      <c r="F33" s="104" t="s">
        <v>23</v>
      </c>
      <c r="G33" s="162">
        <v>1</v>
      </c>
      <c r="H33" s="163">
        <v>54000</v>
      </c>
      <c r="I33" s="163">
        <f t="shared" si="1"/>
        <v>54000</v>
      </c>
      <c r="J33" s="161"/>
    </row>
    <row r="34" spans="1:10" s="164" customFormat="1" ht="14.1" customHeight="1" x14ac:dyDescent="0.25">
      <c r="A34" s="153" t="str">
        <f>IF(B34="","",SUBTOTAL(3,$B$7:B41))</f>
        <v/>
      </c>
      <c r="B34" s="159"/>
      <c r="C34" s="160"/>
      <c r="D34" s="159" t="s">
        <v>215</v>
      </c>
      <c r="E34" s="161"/>
      <c r="F34" s="104" t="s">
        <v>216</v>
      </c>
      <c r="G34" s="162">
        <v>2</v>
      </c>
      <c r="H34" s="163">
        <v>11000</v>
      </c>
      <c r="I34" s="163">
        <f t="shared" si="1"/>
        <v>22000</v>
      </c>
      <c r="J34" s="161"/>
    </row>
    <row r="35" spans="1:10" s="45" customFormat="1" ht="14.1" customHeight="1" x14ac:dyDescent="0.25">
      <c r="A35" s="146">
        <f>IF(B35="","",SUBTOTAL(3,$B$7:B35))</f>
        <v>3</v>
      </c>
      <c r="B35" s="147" t="s">
        <v>28</v>
      </c>
      <c r="C35" s="146" t="s">
        <v>8</v>
      </c>
      <c r="D35" s="147"/>
      <c r="E35" s="136"/>
      <c r="F35" s="135"/>
      <c r="G35" s="150"/>
      <c r="H35" s="150"/>
      <c r="I35" s="150">
        <f>SUM(I36:I48)</f>
        <v>2830000</v>
      </c>
      <c r="J35" s="136"/>
    </row>
    <row r="36" spans="1:10" ht="14.1" customHeight="1" x14ac:dyDescent="0.25">
      <c r="A36" s="146" t="str">
        <f>IF(B36="","",SUBTOTAL(3,$B$7:B36))</f>
        <v/>
      </c>
      <c r="B36" s="151"/>
      <c r="C36" s="148"/>
      <c r="D36" s="151" t="s">
        <v>29</v>
      </c>
      <c r="E36" s="57" t="s">
        <v>260</v>
      </c>
      <c r="F36" s="120" t="s">
        <v>23</v>
      </c>
      <c r="G36" s="132">
        <v>3</v>
      </c>
      <c r="H36" s="132">
        <v>323000</v>
      </c>
      <c r="I36" s="132">
        <f t="shared" ref="I36:I47" si="2">G36*H36</f>
        <v>969000</v>
      </c>
      <c r="J36" s="57"/>
    </row>
    <row r="37" spans="1:10" ht="14.1" customHeight="1" x14ac:dyDescent="0.25">
      <c r="A37" s="146" t="str">
        <f>IF(B37="","",SUBTOTAL(3,$B$7:B37))</f>
        <v/>
      </c>
      <c r="B37" s="151"/>
      <c r="C37" s="148"/>
      <c r="D37" s="151" t="s">
        <v>261</v>
      </c>
      <c r="E37" s="57" t="s">
        <v>262</v>
      </c>
      <c r="F37" s="120" t="s">
        <v>23</v>
      </c>
      <c r="G37" s="132">
        <v>1</v>
      </c>
      <c r="H37" s="132">
        <v>86000</v>
      </c>
      <c r="I37" s="132">
        <f t="shared" si="2"/>
        <v>86000</v>
      </c>
      <c r="J37" s="57"/>
    </row>
    <row r="38" spans="1:10" ht="14.1" customHeight="1" x14ac:dyDescent="0.25">
      <c r="A38" s="146" t="str">
        <f>IF(B38="","",SUBTOTAL(3,$B$7:B38))</f>
        <v/>
      </c>
      <c r="B38" s="151"/>
      <c r="C38" s="148"/>
      <c r="D38" s="151" t="s">
        <v>263</v>
      </c>
      <c r="E38" s="57" t="s">
        <v>200</v>
      </c>
      <c r="F38" s="120" t="s">
        <v>23</v>
      </c>
      <c r="G38" s="132">
        <v>1</v>
      </c>
      <c r="H38" s="132">
        <v>433000</v>
      </c>
      <c r="I38" s="132">
        <f t="shared" si="2"/>
        <v>433000</v>
      </c>
      <c r="J38" s="57"/>
    </row>
    <row r="39" spans="1:10" ht="14.1" customHeight="1" x14ac:dyDescent="0.25">
      <c r="A39" s="146" t="str">
        <f>IF(B39="","",SUBTOTAL(3,$B$7:B39))</f>
        <v/>
      </c>
      <c r="B39" s="151"/>
      <c r="C39" s="148"/>
      <c r="D39" s="151" t="s">
        <v>264</v>
      </c>
      <c r="E39" s="57" t="s">
        <v>214</v>
      </c>
      <c r="F39" s="120" t="s">
        <v>23</v>
      </c>
      <c r="G39" s="132">
        <v>1</v>
      </c>
      <c r="H39" s="132">
        <v>75000</v>
      </c>
      <c r="I39" s="132">
        <f t="shared" si="2"/>
        <v>75000</v>
      </c>
      <c r="J39" s="57"/>
    </row>
    <row r="40" spans="1:10" ht="14.1" customHeight="1" x14ac:dyDescent="0.25">
      <c r="A40" s="146" t="str">
        <f>IF(B40="","",SUBTOTAL(3,$B$7:B40))</f>
        <v/>
      </c>
      <c r="B40" s="151"/>
      <c r="C40" s="148"/>
      <c r="D40" s="151" t="s">
        <v>263</v>
      </c>
      <c r="E40" s="57" t="s">
        <v>260</v>
      </c>
      <c r="F40" s="120" t="s">
        <v>23</v>
      </c>
      <c r="G40" s="132">
        <v>1</v>
      </c>
      <c r="H40" s="132">
        <v>433000</v>
      </c>
      <c r="I40" s="132">
        <f t="shared" si="2"/>
        <v>433000</v>
      </c>
      <c r="J40" s="57"/>
    </row>
    <row r="41" spans="1:10" ht="14.1" customHeight="1" x14ac:dyDescent="0.25">
      <c r="A41" s="146" t="str">
        <f>IF(B41="","",SUBTOTAL(3,$B$7:B41))</f>
        <v/>
      </c>
      <c r="B41" s="151"/>
      <c r="C41" s="148"/>
      <c r="D41" s="151" t="s">
        <v>30</v>
      </c>
      <c r="E41" s="57" t="s">
        <v>25</v>
      </c>
      <c r="F41" s="120" t="s">
        <v>23</v>
      </c>
      <c r="G41" s="132">
        <v>7</v>
      </c>
      <c r="H41" s="132">
        <v>16000</v>
      </c>
      <c r="I41" s="132">
        <f t="shared" si="2"/>
        <v>112000</v>
      </c>
      <c r="J41" s="57"/>
    </row>
    <row r="42" spans="1:10" ht="14.1" customHeight="1" x14ac:dyDescent="0.25">
      <c r="A42" s="146" t="str">
        <f>IF(B42="","",SUBTOTAL(3,$B$7:B42))</f>
        <v/>
      </c>
      <c r="B42" s="151"/>
      <c r="C42" s="148"/>
      <c r="D42" s="151" t="s">
        <v>265</v>
      </c>
      <c r="E42" s="57" t="s">
        <v>266</v>
      </c>
      <c r="F42" s="120" t="s">
        <v>23</v>
      </c>
      <c r="G42" s="132">
        <v>1</v>
      </c>
      <c r="H42" s="132">
        <v>11000</v>
      </c>
      <c r="I42" s="132">
        <f t="shared" si="2"/>
        <v>11000</v>
      </c>
      <c r="J42" s="57"/>
    </row>
    <row r="43" spans="1:10" ht="14.1" customHeight="1" x14ac:dyDescent="0.25">
      <c r="A43" s="146" t="str">
        <f>IF(B43="","",SUBTOTAL(3,$B$7:B43))</f>
        <v/>
      </c>
      <c r="B43" s="151"/>
      <c r="C43" s="148"/>
      <c r="D43" s="151" t="s">
        <v>267</v>
      </c>
      <c r="E43" s="57" t="s">
        <v>268</v>
      </c>
      <c r="F43" s="120" t="s">
        <v>23</v>
      </c>
      <c r="G43" s="132">
        <v>2</v>
      </c>
      <c r="H43" s="132">
        <v>11000</v>
      </c>
      <c r="I43" s="132">
        <f t="shared" si="2"/>
        <v>22000</v>
      </c>
      <c r="J43" s="57"/>
    </row>
    <row r="44" spans="1:10" ht="29.25" customHeight="1" x14ac:dyDescent="0.25">
      <c r="A44" s="146" t="str">
        <f>IF(B44="","",SUBTOTAL(3,$B$7:B44))</f>
        <v/>
      </c>
      <c r="B44" s="151"/>
      <c r="C44" s="148"/>
      <c r="D44" s="151" t="s">
        <v>269</v>
      </c>
      <c r="E44" s="57" t="s">
        <v>270</v>
      </c>
      <c r="F44" s="120" t="s">
        <v>23</v>
      </c>
      <c r="G44" s="132">
        <v>6</v>
      </c>
      <c r="H44" s="132">
        <v>22000</v>
      </c>
      <c r="I44" s="132">
        <f t="shared" si="2"/>
        <v>132000</v>
      </c>
      <c r="J44" s="57"/>
    </row>
    <row r="45" spans="1:10" ht="14.1" customHeight="1" x14ac:dyDescent="0.25">
      <c r="A45" s="146" t="str">
        <f>IF(B45="","",SUBTOTAL(3,$B$7:B45))</f>
        <v/>
      </c>
      <c r="B45" s="151"/>
      <c r="C45" s="148"/>
      <c r="D45" s="151" t="s">
        <v>269</v>
      </c>
      <c r="E45" s="57" t="s">
        <v>271</v>
      </c>
      <c r="F45" s="120" t="s">
        <v>23</v>
      </c>
      <c r="G45" s="132">
        <v>10</v>
      </c>
      <c r="H45" s="132">
        <v>11000</v>
      </c>
      <c r="I45" s="132">
        <f t="shared" si="2"/>
        <v>110000</v>
      </c>
      <c r="J45" s="57"/>
    </row>
    <row r="46" spans="1:10" ht="14.1" customHeight="1" x14ac:dyDescent="0.25">
      <c r="A46" s="146" t="str">
        <f>IF(B46="","",SUBTOTAL(3,$B$7:B46))</f>
        <v/>
      </c>
      <c r="B46" s="151"/>
      <c r="C46" s="148"/>
      <c r="D46" s="151" t="s">
        <v>272</v>
      </c>
      <c r="E46" s="57" t="s">
        <v>273</v>
      </c>
      <c r="F46" s="120" t="s">
        <v>10</v>
      </c>
      <c r="G46" s="132">
        <v>56</v>
      </c>
      <c r="H46" s="132">
        <v>7000</v>
      </c>
      <c r="I46" s="132">
        <f t="shared" si="2"/>
        <v>392000</v>
      </c>
      <c r="J46" s="57"/>
    </row>
    <row r="47" spans="1:10" ht="14.1" customHeight="1" x14ac:dyDescent="0.25">
      <c r="A47" s="146" t="str">
        <f>IF(B47="","",SUBTOTAL(3,$B$7:B47))</f>
        <v/>
      </c>
      <c r="B47" s="151"/>
      <c r="C47" s="148"/>
      <c r="D47" s="151" t="s">
        <v>274</v>
      </c>
      <c r="E47" s="57" t="s">
        <v>212</v>
      </c>
      <c r="F47" s="120" t="s">
        <v>216</v>
      </c>
      <c r="G47" s="132">
        <v>3</v>
      </c>
      <c r="H47" s="132">
        <v>11000</v>
      </c>
      <c r="I47" s="132">
        <f t="shared" si="2"/>
        <v>33000</v>
      </c>
      <c r="J47" s="57"/>
    </row>
    <row r="48" spans="1:10" ht="14.1" customHeight="1" x14ac:dyDescent="0.25">
      <c r="A48" s="146" t="str">
        <f>IF(B48="","",SUBTOTAL(3,$B$7:B48))</f>
        <v/>
      </c>
      <c r="B48" s="151"/>
      <c r="C48" s="148"/>
      <c r="D48" s="151" t="s">
        <v>208</v>
      </c>
      <c r="E48" s="57" t="s">
        <v>275</v>
      </c>
      <c r="F48" s="120" t="s">
        <v>210</v>
      </c>
      <c r="G48" s="132">
        <v>1</v>
      </c>
      <c r="H48" s="132"/>
      <c r="I48" s="132">
        <v>22000</v>
      </c>
      <c r="J48" s="57"/>
    </row>
    <row r="49" spans="1:10" s="45" customFormat="1" ht="14.1" customHeight="1" x14ac:dyDescent="0.25">
      <c r="A49" s="146">
        <f>IF(B49="","",SUBTOTAL(3,$B$7:B49))</f>
        <v>4</v>
      </c>
      <c r="B49" s="147" t="s">
        <v>58</v>
      </c>
      <c r="C49" s="146" t="s">
        <v>8</v>
      </c>
      <c r="D49" s="147"/>
      <c r="E49" s="136"/>
      <c r="F49" s="135"/>
      <c r="G49" s="149"/>
      <c r="H49" s="150"/>
      <c r="I49" s="150">
        <f>SUM(I50:I53)</f>
        <v>696000</v>
      </c>
      <c r="J49" s="136"/>
    </row>
    <row r="50" spans="1:10" ht="14.1" customHeight="1" x14ac:dyDescent="0.25">
      <c r="A50" s="146" t="str">
        <f>IF(B50="","",SUBTOTAL(3,$B$7:B50))</f>
        <v/>
      </c>
      <c r="B50" s="151"/>
      <c r="C50" s="148"/>
      <c r="D50" s="151" t="s">
        <v>29</v>
      </c>
      <c r="E50" s="57" t="s">
        <v>284</v>
      </c>
      <c r="F50" s="120" t="s">
        <v>23</v>
      </c>
      <c r="G50" s="152">
        <v>1</v>
      </c>
      <c r="H50" s="132">
        <v>215000</v>
      </c>
      <c r="I50" s="132">
        <f>G50*H50</f>
        <v>215000</v>
      </c>
      <c r="J50" s="57"/>
    </row>
    <row r="51" spans="1:10" ht="14.1" customHeight="1" x14ac:dyDescent="0.25">
      <c r="A51" s="146" t="str">
        <f>IF(B51="","",SUBTOTAL(3,$B$7:B51))</f>
        <v/>
      </c>
      <c r="B51" s="151"/>
      <c r="C51" s="148"/>
      <c r="D51" s="151" t="s">
        <v>285</v>
      </c>
      <c r="E51" s="57"/>
      <c r="F51" s="120" t="s">
        <v>10</v>
      </c>
      <c r="G51" s="152">
        <v>1</v>
      </c>
      <c r="H51" s="132">
        <v>22000</v>
      </c>
      <c r="I51" s="132">
        <f>G51*H51</f>
        <v>22000</v>
      </c>
      <c r="J51" s="57"/>
    </row>
    <row r="52" spans="1:10" ht="14.1" customHeight="1" x14ac:dyDescent="0.25">
      <c r="A52" s="146" t="str">
        <f>IF(B52="","",SUBTOTAL(3,$B$7:B52))</f>
        <v/>
      </c>
      <c r="B52" s="151"/>
      <c r="C52" s="148"/>
      <c r="D52" s="151" t="s">
        <v>286</v>
      </c>
      <c r="E52" s="57" t="s">
        <v>287</v>
      </c>
      <c r="F52" s="120" t="s">
        <v>23</v>
      </c>
      <c r="G52" s="152">
        <v>8</v>
      </c>
      <c r="H52" s="132">
        <v>27000</v>
      </c>
      <c r="I52" s="132">
        <f>G52*H52</f>
        <v>216000</v>
      </c>
      <c r="J52" s="57"/>
    </row>
    <row r="53" spans="1:10" ht="14.1" customHeight="1" x14ac:dyDescent="0.25">
      <c r="A53" s="146"/>
      <c r="B53" s="151"/>
      <c r="C53" s="148"/>
      <c r="D53" s="151" t="s">
        <v>288</v>
      </c>
      <c r="E53" s="57" t="s">
        <v>287</v>
      </c>
      <c r="F53" s="120" t="s">
        <v>23</v>
      </c>
      <c r="G53" s="152">
        <v>9</v>
      </c>
      <c r="H53" s="132">
        <v>27000</v>
      </c>
      <c r="I53" s="132">
        <f>G53*H53</f>
        <v>243000</v>
      </c>
      <c r="J53" s="57"/>
    </row>
    <row r="54" spans="1:10" ht="14.1" customHeight="1" x14ac:dyDescent="0.25">
      <c r="A54" s="146"/>
      <c r="B54" s="151"/>
      <c r="C54" s="148"/>
      <c r="D54" s="151"/>
      <c r="E54" s="57"/>
      <c r="F54" s="120"/>
      <c r="G54" s="152"/>
      <c r="H54" s="132"/>
      <c r="I54" s="132"/>
      <c r="J54" s="57"/>
    </row>
    <row r="55" spans="1:10" s="45" customFormat="1" ht="14.1" customHeight="1" x14ac:dyDescent="0.25">
      <c r="A55" s="146">
        <f>IF(B55="","",SUBTOTAL(3,$B$7:B55))</f>
        <v>5</v>
      </c>
      <c r="B55" s="147" t="s">
        <v>31</v>
      </c>
      <c r="C55" s="146" t="s">
        <v>8</v>
      </c>
      <c r="D55" s="147"/>
      <c r="E55" s="136"/>
      <c r="F55" s="135"/>
      <c r="G55" s="165"/>
      <c r="H55" s="150"/>
      <c r="I55" s="150">
        <f>SUM(I56:I62)</f>
        <v>1302000</v>
      </c>
      <c r="J55" s="136"/>
    </row>
    <row r="56" spans="1:10" ht="14.1" customHeight="1" x14ac:dyDescent="0.25">
      <c r="A56" s="146" t="str">
        <f>IF(B56="","",SUBTOTAL(3,$B$7:B56))</f>
        <v/>
      </c>
      <c r="B56" s="151"/>
      <c r="C56" s="148"/>
      <c r="D56" s="151" t="s">
        <v>305</v>
      </c>
      <c r="E56" s="57" t="s">
        <v>306</v>
      </c>
      <c r="F56" s="120" t="s">
        <v>23</v>
      </c>
      <c r="G56" s="166">
        <v>1</v>
      </c>
      <c r="H56" s="132">
        <v>215000</v>
      </c>
      <c r="I56" s="132">
        <f t="shared" ref="I56:I62" si="3">G56*H56</f>
        <v>215000</v>
      </c>
      <c r="J56" s="57"/>
    </row>
    <row r="57" spans="1:10" ht="14.1" customHeight="1" x14ac:dyDescent="0.25">
      <c r="A57" s="146" t="str">
        <f>IF(B57="","",SUBTOTAL(3,$B$7:B57))</f>
        <v/>
      </c>
      <c r="B57" s="151"/>
      <c r="C57" s="148"/>
      <c r="D57" s="151" t="s">
        <v>305</v>
      </c>
      <c r="E57" s="57" t="s">
        <v>307</v>
      </c>
      <c r="F57" s="120" t="s">
        <v>23</v>
      </c>
      <c r="G57" s="166">
        <v>3</v>
      </c>
      <c r="H57" s="132">
        <v>129000</v>
      </c>
      <c r="I57" s="132">
        <f t="shared" si="3"/>
        <v>387000</v>
      </c>
      <c r="J57" s="57"/>
    </row>
    <row r="58" spans="1:10" ht="14.1" customHeight="1" x14ac:dyDescent="0.25">
      <c r="A58" s="146" t="str">
        <f>IF(B58="","",SUBTOTAL(3,$B$7:B58))</f>
        <v/>
      </c>
      <c r="B58" s="151"/>
      <c r="C58" s="148"/>
      <c r="D58" s="151" t="s">
        <v>308</v>
      </c>
      <c r="E58" s="57"/>
      <c r="F58" s="120" t="s">
        <v>17</v>
      </c>
      <c r="G58" s="166">
        <v>23</v>
      </c>
      <c r="H58" s="132">
        <v>11000</v>
      </c>
      <c r="I58" s="132">
        <f t="shared" si="3"/>
        <v>253000</v>
      </c>
      <c r="J58" s="57"/>
    </row>
    <row r="59" spans="1:10" ht="14.1" customHeight="1" x14ac:dyDescent="0.25">
      <c r="A59" s="146" t="str">
        <f>IF(B59="","",SUBTOTAL(3,$B$7:B59))</f>
        <v/>
      </c>
      <c r="B59" s="151"/>
      <c r="C59" s="148"/>
      <c r="D59" s="151" t="s">
        <v>309</v>
      </c>
      <c r="E59" s="57"/>
      <c r="F59" s="120" t="s">
        <v>17</v>
      </c>
      <c r="G59" s="166">
        <v>23</v>
      </c>
      <c r="H59" s="132">
        <v>11000</v>
      </c>
      <c r="I59" s="132">
        <f t="shared" si="3"/>
        <v>253000</v>
      </c>
      <c r="J59" s="57"/>
    </row>
    <row r="60" spans="1:10" ht="14.1" customHeight="1" x14ac:dyDescent="0.25">
      <c r="A60" s="146" t="str">
        <f>IF(B60="","",SUBTOTAL(3,$B$7:B60))</f>
        <v/>
      </c>
      <c r="B60" s="151"/>
      <c r="C60" s="148"/>
      <c r="D60" s="151" t="s">
        <v>310</v>
      </c>
      <c r="E60" s="57"/>
      <c r="F60" s="120" t="s">
        <v>10</v>
      </c>
      <c r="G60" s="166">
        <v>2</v>
      </c>
      <c r="H60" s="132">
        <v>11000</v>
      </c>
      <c r="I60" s="132">
        <f t="shared" si="3"/>
        <v>22000</v>
      </c>
      <c r="J60" s="57"/>
    </row>
    <row r="61" spans="1:10" ht="14.1" customHeight="1" x14ac:dyDescent="0.25">
      <c r="A61" s="146" t="str">
        <f>IF(B61="","",SUBTOTAL(3,$B$7:B61))</f>
        <v/>
      </c>
      <c r="B61" s="151"/>
      <c r="C61" s="148"/>
      <c r="D61" s="151" t="s">
        <v>311</v>
      </c>
      <c r="E61" s="57" t="s">
        <v>262</v>
      </c>
      <c r="F61" s="120" t="s">
        <v>23</v>
      </c>
      <c r="G61" s="166">
        <v>1</v>
      </c>
      <c r="H61" s="132">
        <v>86000</v>
      </c>
      <c r="I61" s="132">
        <f t="shared" si="3"/>
        <v>86000</v>
      </c>
      <c r="J61" s="57"/>
    </row>
    <row r="62" spans="1:10" ht="14.1" customHeight="1" x14ac:dyDescent="0.25">
      <c r="A62" s="146" t="str">
        <f>IF(B62="","",SUBTOTAL(3,$B$7:B62))</f>
        <v/>
      </c>
      <c r="B62" s="151"/>
      <c r="C62" s="148"/>
      <c r="D62" s="151" t="s">
        <v>312</v>
      </c>
      <c r="E62" s="57" t="s">
        <v>262</v>
      </c>
      <c r="F62" s="120" t="s">
        <v>23</v>
      </c>
      <c r="G62" s="166">
        <v>1</v>
      </c>
      <c r="H62" s="132">
        <v>86000</v>
      </c>
      <c r="I62" s="132">
        <f t="shared" si="3"/>
        <v>86000</v>
      </c>
      <c r="J62" s="57"/>
    </row>
    <row r="63" spans="1:10" s="45" customFormat="1" ht="14.1" customHeight="1" x14ac:dyDescent="0.25">
      <c r="A63" s="146">
        <f>IF(B63="","",SUBTOTAL(3,$B$7:B63))</f>
        <v>6</v>
      </c>
      <c r="B63" s="147" t="s">
        <v>54</v>
      </c>
      <c r="C63" s="146" t="s">
        <v>8</v>
      </c>
      <c r="D63" s="147"/>
      <c r="E63" s="136"/>
      <c r="F63" s="135"/>
      <c r="G63" s="149"/>
      <c r="H63" s="150"/>
      <c r="I63" s="150">
        <f>SUM(I64:I66)</f>
        <v>844000</v>
      </c>
      <c r="J63" s="136"/>
    </row>
    <row r="64" spans="1:10" ht="14.1" customHeight="1" x14ac:dyDescent="0.25">
      <c r="A64" s="146" t="str">
        <f>IF(B64="","",SUBTOTAL(3,$B$7:B64))</f>
        <v/>
      </c>
      <c r="B64" s="151"/>
      <c r="C64" s="148"/>
      <c r="D64" s="151" t="s">
        <v>33</v>
      </c>
      <c r="E64" s="57" t="s">
        <v>207</v>
      </c>
      <c r="F64" s="120" t="s">
        <v>318</v>
      </c>
      <c r="G64" s="152">
        <v>2</v>
      </c>
      <c r="H64" s="132">
        <v>76000</v>
      </c>
      <c r="I64" s="132">
        <f t="shared" ref="I64:I66" si="4">G64*H64</f>
        <v>152000</v>
      </c>
      <c r="J64" s="57"/>
    </row>
    <row r="65" spans="1:10" ht="14.1" customHeight="1" x14ac:dyDescent="0.25">
      <c r="A65" s="146" t="str">
        <f>IF(B65="","",SUBTOTAL(3,$B$7:B65))</f>
        <v/>
      </c>
      <c r="B65" s="151"/>
      <c r="C65" s="148"/>
      <c r="D65" s="151" t="s">
        <v>319</v>
      </c>
      <c r="E65" s="57" t="s">
        <v>25</v>
      </c>
      <c r="F65" s="120" t="s">
        <v>318</v>
      </c>
      <c r="G65" s="152">
        <v>12</v>
      </c>
      <c r="H65" s="132">
        <v>16000</v>
      </c>
      <c r="I65" s="132">
        <f t="shared" si="4"/>
        <v>192000</v>
      </c>
      <c r="J65" s="57"/>
    </row>
    <row r="66" spans="1:10" ht="14.1" customHeight="1" x14ac:dyDescent="0.25">
      <c r="A66" s="146" t="str">
        <f>IF(B66="","",SUBTOTAL(3,$B$7:B66))</f>
        <v/>
      </c>
      <c r="B66" s="151"/>
      <c r="C66" s="148"/>
      <c r="D66" s="151" t="s">
        <v>26</v>
      </c>
      <c r="E66" s="57" t="s">
        <v>25</v>
      </c>
      <c r="F66" s="120" t="s">
        <v>318</v>
      </c>
      <c r="G66" s="152">
        <v>10</v>
      </c>
      <c r="H66" s="132">
        <v>50000</v>
      </c>
      <c r="I66" s="132">
        <f t="shared" si="4"/>
        <v>500000</v>
      </c>
      <c r="J66" s="57"/>
    </row>
  </sheetData>
  <mergeCells count="4">
    <mergeCell ref="A4:J4"/>
    <mergeCell ref="A1:J1"/>
    <mergeCell ref="A2:J2"/>
    <mergeCell ref="A3:J3"/>
  </mergeCells>
  <pageMargins left="0.48" right="0" top="0.24" bottom="0.17" header="0.17"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zoomScale="115" zoomScaleNormal="115" workbookViewId="0">
      <selection activeCell="I27" sqref="I27"/>
    </sheetView>
  </sheetViews>
  <sheetFormatPr defaultColWidth="10.28515625" defaultRowHeight="12.75" x14ac:dyDescent="0.25"/>
  <cols>
    <col min="1" max="1" width="4.42578125" style="27" bestFit="1" customWidth="1"/>
    <col min="2" max="2" width="17" style="27" bestFit="1" customWidth="1"/>
    <col min="3" max="3" width="13.140625" style="33" customWidth="1"/>
    <col min="4" max="4" width="10.7109375" style="6" customWidth="1"/>
    <col min="5" max="5" width="7.5703125" style="27" customWidth="1"/>
    <col min="6" max="6" width="12.85546875" style="6" customWidth="1"/>
    <col min="7" max="7" width="13.28515625" style="33" customWidth="1"/>
    <col min="8" max="8" width="12.28515625" style="27" customWidth="1"/>
    <col min="9" max="9" width="14.140625" style="27" customWidth="1"/>
    <col min="10" max="10" width="9.85546875" style="27" bestFit="1" customWidth="1"/>
    <col min="11" max="11" width="15.140625" style="27" customWidth="1"/>
    <col min="12" max="12" width="0" style="27" hidden="1" customWidth="1"/>
    <col min="13" max="14" width="10.28515625" style="27"/>
    <col min="15" max="15" width="15" style="27" bestFit="1" customWidth="1"/>
    <col min="16" max="16384" width="10.28515625" style="27"/>
  </cols>
  <sheetData>
    <row r="1" spans="1:11" ht="24" customHeight="1" x14ac:dyDescent="0.25">
      <c r="A1" s="183" t="s">
        <v>106</v>
      </c>
      <c r="B1" s="183"/>
      <c r="C1" s="183"/>
      <c r="D1" s="183"/>
      <c r="E1" s="183"/>
      <c r="F1" s="183"/>
      <c r="G1" s="183"/>
      <c r="H1" s="183"/>
      <c r="I1" s="183"/>
      <c r="J1" s="183"/>
      <c r="K1" s="183"/>
    </row>
    <row r="2" spans="1:11" s="41" customFormat="1" ht="20.100000000000001" customHeight="1" x14ac:dyDescent="0.25">
      <c r="A2" s="184" t="s">
        <v>98</v>
      </c>
      <c r="B2" s="184"/>
      <c r="C2" s="184"/>
      <c r="D2" s="184"/>
      <c r="E2" s="184"/>
      <c r="F2" s="184"/>
      <c r="G2" s="184"/>
      <c r="H2" s="184"/>
      <c r="I2" s="184"/>
      <c r="J2" s="184"/>
      <c r="K2" s="184"/>
    </row>
    <row r="3" spans="1:11" s="41" customFormat="1" ht="20.100000000000001" customHeight="1" x14ac:dyDescent="0.25">
      <c r="A3" s="184" t="s">
        <v>101</v>
      </c>
      <c r="B3" s="184"/>
      <c r="C3" s="184"/>
      <c r="D3" s="184"/>
      <c r="E3" s="184"/>
      <c r="F3" s="184"/>
      <c r="G3" s="184"/>
      <c r="H3" s="184"/>
      <c r="I3" s="184"/>
      <c r="J3" s="184"/>
      <c r="K3" s="184"/>
    </row>
    <row r="4" spans="1:11" s="41" customFormat="1" ht="20.100000000000001" customHeight="1" x14ac:dyDescent="0.25">
      <c r="A4" s="187" t="s">
        <v>99</v>
      </c>
      <c r="B4" s="187"/>
      <c r="C4" s="187"/>
      <c r="D4" s="187"/>
      <c r="E4" s="187"/>
      <c r="F4" s="187"/>
      <c r="G4" s="187"/>
      <c r="H4" s="187"/>
      <c r="I4" s="187"/>
      <c r="J4" s="187"/>
      <c r="K4" s="187"/>
    </row>
    <row r="5" spans="1:11" x14ac:dyDescent="0.25">
      <c r="A5" s="188" t="s">
        <v>88</v>
      </c>
      <c r="B5" s="188" t="s">
        <v>1</v>
      </c>
      <c r="C5" s="188" t="s">
        <v>19</v>
      </c>
      <c r="D5" s="188" t="s">
        <v>89</v>
      </c>
      <c r="E5" s="188"/>
      <c r="F5" s="188" t="s">
        <v>90</v>
      </c>
      <c r="G5" s="188"/>
      <c r="H5" s="188" t="s">
        <v>91</v>
      </c>
      <c r="I5" s="188" t="s">
        <v>92</v>
      </c>
      <c r="J5" s="188" t="s">
        <v>93</v>
      </c>
      <c r="K5" s="189" t="s">
        <v>7</v>
      </c>
    </row>
    <row r="6" spans="1:11" ht="38.25" x14ac:dyDescent="0.25">
      <c r="A6" s="188"/>
      <c r="B6" s="188"/>
      <c r="C6" s="188"/>
      <c r="D6" s="2" t="s">
        <v>94</v>
      </c>
      <c r="E6" s="28" t="s">
        <v>95</v>
      </c>
      <c r="F6" s="2" t="s">
        <v>96</v>
      </c>
      <c r="G6" s="28" t="s">
        <v>97</v>
      </c>
      <c r="H6" s="188"/>
      <c r="I6" s="188"/>
      <c r="J6" s="188"/>
      <c r="K6" s="189"/>
    </row>
    <row r="7" spans="1:11" x14ac:dyDescent="0.25">
      <c r="A7" s="30">
        <f>IF(B7="","",COUNTA($B$5:B6))</f>
        <v>1</v>
      </c>
      <c r="B7" s="31" t="s">
        <v>80</v>
      </c>
      <c r="C7" s="30" t="s">
        <v>8</v>
      </c>
      <c r="D7" s="10"/>
      <c r="E7" s="3"/>
      <c r="F7" s="3"/>
      <c r="G7" s="11"/>
      <c r="H7" s="3"/>
      <c r="I7" s="3"/>
      <c r="J7" s="26"/>
      <c r="K7" s="30"/>
    </row>
    <row r="8" spans="1:11" x14ac:dyDescent="0.25">
      <c r="A8" s="30">
        <f>IF(B8="","",COUNTA($B$5:B7))</f>
        <v>2</v>
      </c>
      <c r="B8" s="31" t="s">
        <v>54</v>
      </c>
      <c r="C8" s="30"/>
      <c r="D8" s="10"/>
      <c r="E8" s="3"/>
      <c r="F8" s="3"/>
      <c r="G8" s="11"/>
      <c r="H8" s="3"/>
      <c r="I8" s="3"/>
      <c r="J8" s="26"/>
      <c r="K8" s="30"/>
    </row>
    <row r="9" spans="1:11" ht="38.25" x14ac:dyDescent="0.25">
      <c r="A9" s="30">
        <f>IF(B9="","",COUNTA($B$5:B8))</f>
        <v>3</v>
      </c>
      <c r="B9" s="31" t="s">
        <v>31</v>
      </c>
      <c r="C9" s="30" t="s">
        <v>8</v>
      </c>
      <c r="D9" s="10"/>
      <c r="E9" s="3"/>
      <c r="F9" s="3"/>
      <c r="G9" s="11"/>
      <c r="H9" s="3"/>
      <c r="I9" s="3"/>
      <c r="J9" s="26"/>
      <c r="K9" s="34" t="s">
        <v>163</v>
      </c>
    </row>
    <row r="10" spans="1:11" x14ac:dyDescent="0.25">
      <c r="A10" s="30">
        <f>IF(B10="","",COUNTA($B$5:B9))</f>
        <v>4</v>
      </c>
      <c r="B10" s="31" t="s">
        <v>58</v>
      </c>
      <c r="C10" s="30" t="s">
        <v>8</v>
      </c>
      <c r="D10" s="10"/>
      <c r="E10" s="3"/>
      <c r="F10" s="3"/>
      <c r="G10" s="11"/>
      <c r="H10" s="3"/>
      <c r="I10" s="3"/>
      <c r="J10" s="26"/>
      <c r="K10" s="30"/>
    </row>
    <row r="11" spans="1:11" x14ac:dyDescent="0.25">
      <c r="A11" s="30">
        <f>IF(B11="","",COUNTA($B$5:B10))</f>
        <v>5</v>
      </c>
      <c r="B11" s="31" t="s">
        <v>65</v>
      </c>
      <c r="C11" s="30" t="s">
        <v>8</v>
      </c>
      <c r="D11" s="10"/>
      <c r="E11" s="31"/>
      <c r="F11" s="3"/>
      <c r="G11" s="11"/>
      <c r="H11" s="31"/>
      <c r="I11" s="31"/>
      <c r="J11" s="26"/>
      <c r="K11" s="30"/>
    </row>
    <row r="12" spans="1:11" x14ac:dyDescent="0.25">
      <c r="A12" s="30">
        <f>IF(B12="","",COUNTA($B$5:B11))</f>
        <v>6</v>
      </c>
      <c r="B12" s="31" t="s">
        <v>39</v>
      </c>
      <c r="C12" s="30" t="s">
        <v>8</v>
      </c>
      <c r="D12" s="10"/>
      <c r="E12" s="31"/>
      <c r="F12" s="3"/>
      <c r="G12" s="11"/>
      <c r="H12" s="31"/>
      <c r="I12" s="31"/>
      <c r="J12" s="26"/>
      <c r="K12" s="30"/>
    </row>
    <row r="13" spans="1:11" x14ac:dyDescent="0.25">
      <c r="A13" s="30">
        <f>IF(B13="","",COUNTA($B$5:B12))</f>
        <v>7</v>
      </c>
      <c r="B13" s="31" t="s">
        <v>40</v>
      </c>
      <c r="C13" s="30" t="s">
        <v>8</v>
      </c>
      <c r="D13" s="10"/>
      <c r="E13" s="31"/>
      <c r="F13" s="3"/>
      <c r="G13" s="11"/>
      <c r="H13" s="31"/>
      <c r="I13" s="31"/>
      <c r="J13" s="26"/>
      <c r="K13" s="30"/>
    </row>
    <row r="14" spans="1:11" ht="16.5" customHeight="1" x14ac:dyDescent="0.25">
      <c r="A14" s="30">
        <f>IF(B14="","",COUNTA($B$5:B13))</f>
        <v>8</v>
      </c>
      <c r="B14" s="31" t="s">
        <v>56</v>
      </c>
      <c r="C14" s="30" t="s">
        <v>8</v>
      </c>
      <c r="D14" s="10"/>
      <c r="E14" s="31"/>
      <c r="F14" s="3"/>
      <c r="G14" s="11"/>
      <c r="H14" s="31"/>
      <c r="I14" s="31"/>
      <c r="J14" s="26"/>
      <c r="K14" s="30"/>
    </row>
    <row r="15" spans="1:11" x14ac:dyDescent="0.25">
      <c r="A15" s="30">
        <f>IF(B15="","",COUNTA($B$5:B14))</f>
        <v>9</v>
      </c>
      <c r="B15" s="31" t="s">
        <v>68</v>
      </c>
      <c r="C15" s="30" t="s">
        <v>8</v>
      </c>
      <c r="D15" s="10"/>
      <c r="E15" s="31"/>
      <c r="F15" s="3"/>
      <c r="G15" s="11"/>
      <c r="H15" s="31"/>
      <c r="I15" s="31"/>
      <c r="J15" s="26"/>
      <c r="K15" s="30" t="s">
        <v>164</v>
      </c>
    </row>
    <row r="16" spans="1:11" x14ac:dyDescent="0.25">
      <c r="A16" s="30">
        <f>IF(B16="","",COUNTA($B$5:B15))</f>
        <v>10</v>
      </c>
      <c r="B16" s="31" t="s">
        <v>38</v>
      </c>
      <c r="C16" s="30" t="s">
        <v>8</v>
      </c>
      <c r="D16" s="10"/>
      <c r="E16" s="31"/>
      <c r="F16" s="3"/>
      <c r="G16" s="11"/>
      <c r="H16" s="31"/>
      <c r="I16" s="31"/>
      <c r="J16" s="26"/>
      <c r="K16" s="30" t="s">
        <v>164</v>
      </c>
    </row>
    <row r="17" spans="1:15" x14ac:dyDescent="0.25">
      <c r="A17" s="30">
        <f>IF(B17="","",COUNTA($B$5:B16))</f>
        <v>11</v>
      </c>
      <c r="B17" s="31" t="s">
        <v>57</v>
      </c>
      <c r="C17" s="30" t="s">
        <v>8</v>
      </c>
      <c r="D17" s="10"/>
      <c r="E17" s="10"/>
      <c r="F17" s="12"/>
      <c r="G17" s="10"/>
      <c r="H17" s="10"/>
      <c r="I17" s="10"/>
      <c r="J17" s="26"/>
      <c r="K17" s="30"/>
      <c r="O17" s="43">
        <f>SUM(J7:J24)</f>
        <v>0</v>
      </c>
    </row>
    <row r="18" spans="1:15" x14ac:dyDescent="0.25">
      <c r="A18" s="30">
        <f>IF(B18="","",COUNTA($B$5:B17))</f>
        <v>12</v>
      </c>
      <c r="B18" s="31" t="s">
        <v>55</v>
      </c>
      <c r="C18" s="30" t="s">
        <v>8</v>
      </c>
      <c r="D18" s="10"/>
      <c r="E18" s="10"/>
      <c r="F18" s="12"/>
      <c r="G18" s="10"/>
      <c r="H18" s="10"/>
      <c r="I18" s="10"/>
      <c r="J18" s="26"/>
      <c r="K18" s="30" t="s">
        <v>164</v>
      </c>
    </row>
    <row r="19" spans="1:15" x14ac:dyDescent="0.25">
      <c r="A19" s="30">
        <f>IF(B19="","",COUNTA($B$5:B18))</f>
        <v>13</v>
      </c>
      <c r="B19" s="31" t="s">
        <v>67</v>
      </c>
      <c r="C19" s="30" t="s">
        <v>8</v>
      </c>
      <c r="D19" s="10"/>
      <c r="E19" s="10"/>
      <c r="F19" s="12"/>
      <c r="G19" s="10"/>
      <c r="H19" s="10"/>
      <c r="I19" s="10"/>
      <c r="J19" s="26"/>
      <c r="K19" s="30"/>
    </row>
    <row r="20" spans="1:15" x14ac:dyDescent="0.25">
      <c r="A20" s="30">
        <f>IF(B20="","",COUNTA($B$5:B19))</f>
        <v>14</v>
      </c>
      <c r="B20" s="31" t="s">
        <v>63</v>
      </c>
      <c r="C20" s="30" t="s">
        <v>8</v>
      </c>
      <c r="D20" s="10"/>
      <c r="E20" s="10"/>
      <c r="F20" s="12"/>
      <c r="G20" s="10"/>
      <c r="H20" s="10"/>
      <c r="I20" s="10"/>
      <c r="J20" s="26"/>
      <c r="K20" s="30"/>
    </row>
    <row r="21" spans="1:15" x14ac:dyDescent="0.25">
      <c r="A21" s="30">
        <f>IF(B21="","",COUNTA($B$5:B20))</f>
        <v>15</v>
      </c>
      <c r="B21" s="31" t="s">
        <v>36</v>
      </c>
      <c r="C21" s="30" t="s">
        <v>8</v>
      </c>
      <c r="D21" s="10"/>
      <c r="E21" s="10"/>
      <c r="F21" s="12"/>
      <c r="G21" s="10"/>
      <c r="H21" s="10"/>
      <c r="I21" s="10"/>
      <c r="J21" s="26"/>
      <c r="K21" s="30"/>
    </row>
    <row r="22" spans="1:15" x14ac:dyDescent="0.25">
      <c r="A22" s="30">
        <f>IF(B22="","",COUNTA($B$5:B21))</f>
        <v>16</v>
      </c>
      <c r="B22" s="31" t="s">
        <v>28</v>
      </c>
      <c r="C22" s="30" t="s">
        <v>8</v>
      </c>
      <c r="D22" s="10"/>
      <c r="E22" s="10"/>
      <c r="F22" s="12"/>
      <c r="G22" s="10"/>
      <c r="H22" s="10"/>
      <c r="I22" s="10"/>
      <c r="J22" s="26"/>
      <c r="K22" s="30" t="s">
        <v>162</v>
      </c>
    </row>
    <row r="23" spans="1:15" x14ac:dyDescent="0.25">
      <c r="A23" s="30">
        <f>IF(B23="","",COUNTA($B$5:B22))</f>
        <v>17</v>
      </c>
      <c r="B23" s="31" t="s">
        <v>64</v>
      </c>
      <c r="C23" s="30" t="s">
        <v>8</v>
      </c>
      <c r="D23" s="3"/>
      <c r="E23" s="31"/>
      <c r="F23" s="3"/>
      <c r="G23" s="30"/>
      <c r="H23" s="31"/>
      <c r="I23" s="31"/>
      <c r="J23" s="26"/>
      <c r="K23" s="30"/>
    </row>
    <row r="24" spans="1:15" x14ac:dyDescent="0.25">
      <c r="A24" s="30">
        <f>IF(B24="","",COUNTA($B$5:B23))</f>
        <v>18</v>
      </c>
      <c r="B24" s="31" t="s">
        <v>52</v>
      </c>
      <c r="C24" s="30" t="s">
        <v>8</v>
      </c>
      <c r="D24" s="3"/>
      <c r="E24" s="31"/>
      <c r="F24" s="3"/>
      <c r="G24" s="30"/>
      <c r="H24" s="31"/>
      <c r="I24" s="31"/>
      <c r="J24" s="31"/>
      <c r="K24" s="31"/>
    </row>
  </sheetData>
  <mergeCells count="13">
    <mergeCell ref="A1:K1"/>
    <mergeCell ref="A2:K2"/>
    <mergeCell ref="A3:K3"/>
    <mergeCell ref="A4:K4"/>
    <mergeCell ref="I5:I6"/>
    <mergeCell ref="J5:J6"/>
    <mergeCell ref="K5:K6"/>
    <mergeCell ref="A5:A6"/>
    <mergeCell ref="B5:B6"/>
    <mergeCell ref="C5:C6"/>
    <mergeCell ref="D5:E5"/>
    <mergeCell ref="F5:G5"/>
    <mergeCell ref="H5:H6"/>
  </mergeCells>
  <conditionalFormatting sqref="B1:B1048576">
    <cfRule type="containsText" dxfId="3" priority="1" operator="containsText" text="Điện">
      <formula>NOT(ISERROR(SEARCH("Điện",B1)))</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topLeftCell="A7" zoomScale="115" zoomScaleNormal="115" workbookViewId="0">
      <selection activeCell="B5" sqref="B5"/>
    </sheetView>
  </sheetViews>
  <sheetFormatPr defaultColWidth="8.85546875" defaultRowHeight="15" x14ac:dyDescent="0.25"/>
  <cols>
    <col min="1" max="1" width="5" style="16" customWidth="1"/>
    <col min="2" max="2" width="18.42578125" style="20" customWidth="1"/>
    <col min="3" max="3" width="13" style="20" customWidth="1"/>
    <col min="4" max="4" width="8.85546875" style="20"/>
    <col min="5" max="5" width="11.140625" style="20" customWidth="1"/>
    <col min="6" max="8" width="8.85546875" style="20"/>
    <col min="9" max="9" width="10.140625" style="20" customWidth="1"/>
    <col min="10" max="10" width="17" style="20" customWidth="1"/>
    <col min="11" max="11" width="16.5703125" style="72" customWidth="1"/>
    <col min="12" max="16384" width="8.85546875" style="20"/>
  </cols>
  <sheetData>
    <row r="1" spans="1:13" ht="15.75" x14ac:dyDescent="0.25">
      <c r="A1" s="190" t="s">
        <v>100</v>
      </c>
      <c r="B1" s="190"/>
      <c r="C1" s="190"/>
      <c r="D1" s="190"/>
      <c r="E1" s="190"/>
      <c r="F1" s="190"/>
      <c r="G1" s="190"/>
      <c r="H1" s="190"/>
      <c r="I1" s="190"/>
      <c r="J1" s="190"/>
      <c r="K1" s="190"/>
      <c r="L1" s="190"/>
      <c r="M1" s="190"/>
    </row>
    <row r="2" spans="1:13" s="4" customFormat="1" ht="20.100000000000001" customHeight="1" x14ac:dyDescent="0.25">
      <c r="A2" s="191" t="s">
        <v>98</v>
      </c>
      <c r="B2" s="191"/>
      <c r="C2" s="191"/>
      <c r="D2" s="191"/>
      <c r="E2" s="191"/>
      <c r="F2" s="191"/>
      <c r="G2" s="191"/>
      <c r="H2" s="191"/>
      <c r="I2" s="191"/>
      <c r="J2" s="191"/>
      <c r="K2" s="191"/>
    </row>
    <row r="3" spans="1:13" s="4" customFormat="1" ht="20.100000000000001" customHeight="1" x14ac:dyDescent="0.25">
      <c r="A3" s="191" t="s">
        <v>101</v>
      </c>
      <c r="B3" s="191"/>
      <c r="C3" s="191"/>
      <c r="D3" s="191"/>
      <c r="E3" s="191"/>
      <c r="F3" s="191"/>
      <c r="G3" s="191"/>
      <c r="H3" s="191"/>
      <c r="I3" s="191"/>
      <c r="J3" s="191"/>
      <c r="K3" s="191"/>
    </row>
    <row r="4" spans="1:13" s="81" customFormat="1" ht="20.100000000000001" customHeight="1" x14ac:dyDescent="0.25">
      <c r="A4" s="192" t="str">
        <f>'Tong Hop'!A4:L4</f>
        <v>(Kèm theo Quyết định số …../QĐ-UBND ngày …. tháng 01 năm 2024 của UBND huyện Ba Bể)</v>
      </c>
      <c r="B4" s="192"/>
      <c r="C4" s="192"/>
      <c r="D4" s="192"/>
      <c r="E4" s="192"/>
      <c r="F4" s="192"/>
      <c r="G4" s="192"/>
      <c r="H4" s="192"/>
      <c r="I4" s="192"/>
      <c r="J4" s="192"/>
      <c r="K4" s="192"/>
    </row>
    <row r="5" spans="1:13" s="4" customFormat="1" ht="20.100000000000001" customHeight="1" x14ac:dyDescent="0.25">
      <c r="B5" s="80"/>
      <c r="C5" s="80"/>
      <c r="K5" s="80" t="s">
        <v>99</v>
      </c>
    </row>
    <row r="6" spans="1:13" s="9" customFormat="1" ht="42.75" x14ac:dyDescent="0.25">
      <c r="A6" s="96" t="s">
        <v>0</v>
      </c>
      <c r="B6" s="96" t="s">
        <v>1</v>
      </c>
      <c r="C6" s="96" t="s">
        <v>19</v>
      </c>
      <c r="D6" s="7" t="s">
        <v>2</v>
      </c>
      <c r="E6" s="7" t="s">
        <v>3</v>
      </c>
      <c r="F6" s="7" t="s">
        <v>4</v>
      </c>
      <c r="G6" s="21" t="s">
        <v>12</v>
      </c>
      <c r="H6" s="21" t="s">
        <v>81</v>
      </c>
      <c r="I6" s="51" t="s">
        <v>5</v>
      </c>
      <c r="J6" s="51" t="s">
        <v>6</v>
      </c>
      <c r="K6" s="71" t="s">
        <v>7</v>
      </c>
    </row>
    <row r="7" spans="1:13" s="25" customFormat="1" x14ac:dyDescent="0.25">
      <c r="A7" s="14">
        <f>IF(B7="","",SUBTOTAL(3,$B$7:B7))</f>
        <v>1</v>
      </c>
      <c r="B7" s="22" t="s">
        <v>40</v>
      </c>
      <c r="C7" s="14"/>
      <c r="D7" s="14"/>
      <c r="E7" s="14"/>
      <c r="F7" s="13"/>
      <c r="G7" s="23"/>
      <c r="H7" s="23"/>
      <c r="I7" s="24"/>
      <c r="J7" s="24">
        <f>SUM(J8)</f>
        <v>14610000.000000002</v>
      </c>
      <c r="K7" s="73"/>
    </row>
    <row r="8" spans="1:13" x14ac:dyDescent="0.25">
      <c r="A8" s="14" t="str">
        <f>IF(B8="","",SUBTOTAL(3,$B$7:B8))</f>
        <v/>
      </c>
      <c r="B8" s="17"/>
      <c r="C8" s="15" t="s">
        <v>8</v>
      </c>
      <c r="D8" s="15">
        <v>1</v>
      </c>
      <c r="E8" s="15">
        <v>31</v>
      </c>
      <c r="F8" s="8" t="s">
        <v>11</v>
      </c>
      <c r="G8" s="18">
        <v>97.4</v>
      </c>
      <c r="H8" s="18">
        <v>3</v>
      </c>
      <c r="I8" s="19">
        <v>50000</v>
      </c>
      <c r="J8" s="19">
        <f t="shared" ref="J8" si="0">G8*H8*I8</f>
        <v>14610000.000000002</v>
      </c>
      <c r="K8" s="73"/>
    </row>
    <row r="9" spans="1:13" s="25" customFormat="1" x14ac:dyDescent="0.25">
      <c r="A9" s="14">
        <f>IF(B9="","",SUBTOTAL(3,$B$7:B9))</f>
        <v>2</v>
      </c>
      <c r="B9" s="22" t="s">
        <v>165</v>
      </c>
      <c r="C9" s="14"/>
      <c r="D9" s="14"/>
      <c r="E9" s="14"/>
      <c r="F9" s="13"/>
      <c r="G9" s="23"/>
      <c r="H9" s="23"/>
      <c r="I9" s="24"/>
      <c r="J9" s="24">
        <f>J10</f>
        <v>4032000.0000000005</v>
      </c>
      <c r="K9" s="73"/>
    </row>
    <row r="10" spans="1:13" x14ac:dyDescent="0.25">
      <c r="A10" s="14" t="str">
        <f>IF(B10="","",SUBTOTAL(3,$B$7:B10))</f>
        <v/>
      </c>
      <c r="B10" s="17"/>
      <c r="C10" s="15" t="s">
        <v>8</v>
      </c>
      <c r="D10" s="15">
        <v>1</v>
      </c>
      <c r="E10" s="15">
        <v>58</v>
      </c>
      <c r="F10" s="8" t="s">
        <v>166</v>
      </c>
      <c r="G10" s="18">
        <v>33.6</v>
      </c>
      <c r="H10" s="18">
        <v>3</v>
      </c>
      <c r="I10" s="19">
        <v>40000</v>
      </c>
      <c r="J10" s="19">
        <f>G10*H10*I10</f>
        <v>4032000.0000000005</v>
      </c>
      <c r="K10" s="73"/>
    </row>
    <row r="11" spans="1:13" s="25" customFormat="1" x14ac:dyDescent="0.25">
      <c r="A11" s="14">
        <f>IF(B11="","",SUBTOTAL(3,$B$7:B11))</f>
        <v>3</v>
      </c>
      <c r="B11" s="22" t="s">
        <v>28</v>
      </c>
      <c r="C11" s="14"/>
      <c r="D11" s="14"/>
      <c r="E11" s="14"/>
      <c r="F11" s="13"/>
      <c r="G11" s="23"/>
      <c r="H11" s="23"/>
      <c r="I11" s="24"/>
      <c r="J11" s="24">
        <f>SUM(J12:J12)</f>
        <v>0</v>
      </c>
      <c r="K11" s="73"/>
    </row>
    <row r="12" spans="1:13" x14ac:dyDescent="0.25">
      <c r="A12" s="14" t="str">
        <f>IF(B12="","",SUBTOTAL(3,$B$7:B12))</f>
        <v/>
      </c>
      <c r="B12" s="17"/>
      <c r="C12" s="15" t="s">
        <v>8</v>
      </c>
      <c r="D12" s="15">
        <v>1</v>
      </c>
      <c r="E12" s="15">
        <v>68</v>
      </c>
      <c r="F12" s="8" t="s">
        <v>9</v>
      </c>
      <c r="G12" s="18">
        <v>0</v>
      </c>
      <c r="H12" s="18">
        <v>0</v>
      </c>
      <c r="I12" s="19"/>
      <c r="J12" s="19">
        <f t="shared" ref="J12" si="1">G12*H12*I12</f>
        <v>0</v>
      </c>
      <c r="K12" s="73"/>
    </row>
    <row r="13" spans="1:13" s="25" customFormat="1" x14ac:dyDescent="0.25">
      <c r="A13" s="14">
        <f>IF(B13="","",SUBTOTAL(3,$B$7:B13))</f>
        <v>4</v>
      </c>
      <c r="B13" s="22" t="s">
        <v>54</v>
      </c>
      <c r="C13" s="14"/>
      <c r="D13" s="14"/>
      <c r="E13" s="14"/>
      <c r="F13" s="13"/>
      <c r="G13" s="23"/>
      <c r="H13" s="23"/>
      <c r="I13" s="24"/>
      <c r="J13" s="24">
        <f>SUM(J14:J16)</f>
        <v>15360000</v>
      </c>
      <c r="K13" s="73"/>
    </row>
    <row r="14" spans="1:13" x14ac:dyDescent="0.25">
      <c r="A14" s="14" t="str">
        <f>IF(B14="","",SUBTOTAL(3,$B$7:B14))</f>
        <v/>
      </c>
      <c r="B14" s="17"/>
      <c r="C14" s="15" t="s">
        <v>8</v>
      </c>
      <c r="D14" s="15">
        <v>1</v>
      </c>
      <c r="E14" s="15">
        <v>6</v>
      </c>
      <c r="F14" s="8" t="s">
        <v>166</v>
      </c>
      <c r="G14" s="18">
        <v>43.5</v>
      </c>
      <c r="H14" s="18">
        <v>3</v>
      </c>
      <c r="I14" s="19">
        <v>40000</v>
      </c>
      <c r="J14" s="19">
        <f t="shared" ref="J14:J16" si="2">G14*H14*I14</f>
        <v>5220000</v>
      </c>
      <c r="K14" s="73"/>
    </row>
    <row r="15" spans="1:13" x14ac:dyDescent="0.25">
      <c r="A15" s="14" t="str">
        <f>IF(B15="","",SUBTOTAL(3,$B$7:B15))</f>
        <v/>
      </c>
      <c r="B15" s="17"/>
      <c r="C15" s="15" t="s">
        <v>8</v>
      </c>
      <c r="D15" s="15">
        <v>1</v>
      </c>
      <c r="E15" s="15">
        <v>10</v>
      </c>
      <c r="F15" s="8" t="s">
        <v>11</v>
      </c>
      <c r="G15" s="18">
        <v>13</v>
      </c>
      <c r="H15" s="18">
        <v>3</v>
      </c>
      <c r="I15" s="19">
        <v>50000</v>
      </c>
      <c r="J15" s="19">
        <f t="shared" si="2"/>
        <v>1950000</v>
      </c>
      <c r="K15" s="73"/>
    </row>
    <row r="16" spans="1:13" x14ac:dyDescent="0.25">
      <c r="A16" s="14" t="str">
        <f>IF(B16="","",SUBTOTAL(3,$B$7:B16))</f>
        <v/>
      </c>
      <c r="B16" s="17"/>
      <c r="C16" s="15" t="s">
        <v>8</v>
      </c>
      <c r="D16" s="15">
        <v>1</v>
      </c>
      <c r="E16" s="15">
        <v>54</v>
      </c>
      <c r="F16" s="8" t="s">
        <v>11</v>
      </c>
      <c r="G16" s="18">
        <v>54.6</v>
      </c>
      <c r="H16" s="18">
        <v>3</v>
      </c>
      <c r="I16" s="19">
        <v>50000</v>
      </c>
      <c r="J16" s="19">
        <f t="shared" si="2"/>
        <v>8190000.0000000009</v>
      </c>
      <c r="K16" s="73"/>
    </row>
    <row r="17" spans="1:11" s="25" customFormat="1" x14ac:dyDescent="0.25">
      <c r="A17" s="14">
        <f>IF(B17="","",SUBTOTAL(3,$B$7:B17))</f>
        <v>5</v>
      </c>
      <c r="B17" s="22" t="s">
        <v>31</v>
      </c>
      <c r="C17" s="14"/>
      <c r="D17" s="14"/>
      <c r="E17" s="14"/>
      <c r="F17" s="13"/>
      <c r="G17" s="23"/>
      <c r="H17" s="23"/>
      <c r="I17" s="24"/>
      <c r="J17" s="24">
        <f>SUM(J18:J19)</f>
        <v>7065000</v>
      </c>
      <c r="K17" s="73"/>
    </row>
    <row r="18" spans="1:11" x14ac:dyDescent="0.25">
      <c r="A18" s="14" t="str">
        <f>IF(B18="","",SUBTOTAL(3,$B$7:B18))</f>
        <v/>
      </c>
      <c r="B18" s="17"/>
      <c r="C18" s="15" t="s">
        <v>8</v>
      </c>
      <c r="D18" s="15">
        <v>1</v>
      </c>
      <c r="E18" s="15">
        <v>9</v>
      </c>
      <c r="F18" s="8" t="s">
        <v>11</v>
      </c>
      <c r="G18" s="18">
        <v>30.3</v>
      </c>
      <c r="H18" s="18">
        <v>3</v>
      </c>
      <c r="I18" s="19">
        <v>50000</v>
      </c>
      <c r="J18" s="19">
        <f t="shared" ref="J18:J19" si="3">G18*H18*I18</f>
        <v>4545000</v>
      </c>
      <c r="K18" s="73"/>
    </row>
    <row r="19" spans="1:11" x14ac:dyDescent="0.25">
      <c r="A19" s="14" t="str">
        <f>IF(B19="","",SUBTOTAL(3,$B$7:B19))</f>
        <v/>
      </c>
      <c r="B19" s="17"/>
      <c r="C19" s="15" t="s">
        <v>8</v>
      </c>
      <c r="D19" s="15">
        <v>2</v>
      </c>
      <c r="E19" s="15">
        <v>16</v>
      </c>
      <c r="F19" s="8" t="s">
        <v>166</v>
      </c>
      <c r="G19" s="18">
        <v>21</v>
      </c>
      <c r="H19" s="18">
        <v>3</v>
      </c>
      <c r="I19" s="19">
        <v>40000</v>
      </c>
      <c r="J19" s="19">
        <f t="shared" si="3"/>
        <v>2520000</v>
      </c>
      <c r="K19" s="73"/>
    </row>
    <row r="20" spans="1:11" s="25" customFormat="1" x14ac:dyDescent="0.25">
      <c r="A20" s="14">
        <f>IF(B20="","",SUBTOTAL(3,$B$7:B20))</f>
        <v>6</v>
      </c>
      <c r="B20" s="22" t="s">
        <v>58</v>
      </c>
      <c r="C20" s="14"/>
      <c r="D20" s="14"/>
      <c r="E20" s="14"/>
      <c r="F20" s="13"/>
      <c r="G20" s="23"/>
      <c r="H20" s="23"/>
      <c r="I20" s="24"/>
      <c r="J20" s="24">
        <f>SUM(J21)</f>
        <v>14235000.000000002</v>
      </c>
      <c r="K20" s="73"/>
    </row>
    <row r="21" spans="1:11" x14ac:dyDescent="0.25">
      <c r="A21" s="14" t="str">
        <f>IF(B21="","",SUBTOTAL(3,$B$7:B21))</f>
        <v/>
      </c>
      <c r="B21" s="17"/>
      <c r="C21" s="15" t="s">
        <v>8</v>
      </c>
      <c r="D21" s="15">
        <v>1</v>
      </c>
      <c r="E21" s="15">
        <v>11</v>
      </c>
      <c r="F21" s="8" t="s">
        <v>11</v>
      </c>
      <c r="G21" s="18">
        <v>94.9</v>
      </c>
      <c r="H21" s="18">
        <v>3</v>
      </c>
      <c r="I21" s="19">
        <v>50000</v>
      </c>
      <c r="J21" s="19">
        <f t="shared" ref="J21" si="4">G21*H21*I21</f>
        <v>14235000.000000002</v>
      </c>
      <c r="K21" s="73"/>
    </row>
  </sheetData>
  <mergeCells count="4">
    <mergeCell ref="A1:M1"/>
    <mergeCell ref="A2:K2"/>
    <mergeCell ref="A3:K3"/>
    <mergeCell ref="A4:K4"/>
  </mergeCells>
  <pageMargins left="0.95" right="0.31"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
  <sheetViews>
    <sheetView workbookViewId="0">
      <selection activeCell="K11" sqref="K11"/>
    </sheetView>
  </sheetViews>
  <sheetFormatPr defaultColWidth="9.140625" defaultRowHeight="15.75" x14ac:dyDescent="0.25"/>
  <cols>
    <col min="1" max="1" width="3.85546875" style="111" bestFit="1" customWidth="1"/>
    <col min="2" max="2" width="18.85546875" style="112" customWidth="1"/>
    <col min="3" max="3" width="10.5703125" style="97" customWidth="1"/>
    <col min="4" max="4" width="13.42578125" style="97" customWidth="1"/>
    <col min="5" max="6" width="9.140625" style="97"/>
    <col min="7" max="7" width="9.42578125" style="97" customWidth="1"/>
    <col min="8" max="8" width="10.85546875" style="97" customWidth="1"/>
    <col min="9" max="10" width="9.140625" style="97"/>
    <col min="11" max="11" width="21.7109375" style="97" customWidth="1"/>
    <col min="12" max="12" width="16" style="113" customWidth="1"/>
    <col min="13" max="16384" width="9.140625" style="97"/>
  </cols>
  <sheetData>
    <row r="1" spans="1:12" x14ac:dyDescent="0.25">
      <c r="A1" s="194" t="s">
        <v>369</v>
      </c>
      <c r="B1" s="194"/>
      <c r="C1" s="194"/>
      <c r="D1" s="194"/>
      <c r="E1" s="194"/>
      <c r="F1" s="194"/>
      <c r="G1" s="194"/>
      <c r="H1" s="194"/>
      <c r="I1" s="194"/>
      <c r="J1" s="194"/>
      <c r="K1" s="194"/>
      <c r="L1" s="194"/>
    </row>
    <row r="2" spans="1:12" s="98" customFormat="1" ht="20.100000000000001" customHeight="1" x14ac:dyDescent="0.25">
      <c r="A2" s="194" t="s">
        <v>98</v>
      </c>
      <c r="B2" s="194"/>
      <c r="C2" s="194"/>
      <c r="D2" s="194"/>
      <c r="E2" s="194"/>
      <c r="F2" s="194"/>
      <c r="G2" s="194"/>
      <c r="H2" s="194"/>
      <c r="I2" s="194"/>
      <c r="J2" s="194"/>
      <c r="K2" s="194"/>
      <c r="L2" s="194"/>
    </row>
    <row r="3" spans="1:12" s="98" customFormat="1" ht="20.100000000000001" customHeight="1" x14ac:dyDescent="0.25">
      <c r="A3" s="194" t="s">
        <v>101</v>
      </c>
      <c r="B3" s="194"/>
      <c r="C3" s="194"/>
      <c r="D3" s="194"/>
      <c r="E3" s="194"/>
      <c r="F3" s="194"/>
      <c r="G3" s="194"/>
      <c r="H3" s="194"/>
      <c r="I3" s="194"/>
      <c r="J3" s="194"/>
      <c r="K3" s="194"/>
      <c r="L3" s="194"/>
    </row>
    <row r="4" spans="1:12" s="98" customFormat="1" ht="20.100000000000001" customHeight="1" x14ac:dyDescent="0.25">
      <c r="A4" s="193" t="str">
        <f>'Tong Hop'!A4:L4</f>
        <v>(Kèm theo Quyết định số …../QĐ-UBND ngày …. tháng 01 năm 2024 của UBND huyện Ba Bể)</v>
      </c>
      <c r="B4" s="193"/>
      <c r="C4" s="193"/>
      <c r="D4" s="193"/>
      <c r="E4" s="193"/>
      <c r="F4" s="193"/>
      <c r="G4" s="193"/>
      <c r="H4" s="193"/>
      <c r="I4" s="193"/>
      <c r="J4" s="193"/>
      <c r="K4" s="193"/>
      <c r="L4" s="193"/>
    </row>
    <row r="5" spans="1:12" s="98" customFormat="1" ht="20.100000000000001" customHeight="1" x14ac:dyDescent="0.25">
      <c r="C5" s="99"/>
      <c r="D5" s="100"/>
      <c r="K5" s="99" t="s">
        <v>99</v>
      </c>
      <c r="L5" s="101"/>
    </row>
    <row r="6" spans="1:12" s="103" customFormat="1" ht="81" customHeight="1" x14ac:dyDescent="0.25">
      <c r="A6" s="114" t="s">
        <v>0</v>
      </c>
      <c r="B6" s="114" t="s">
        <v>1</v>
      </c>
      <c r="C6" s="114" t="s">
        <v>19</v>
      </c>
      <c r="D6" s="94" t="s">
        <v>102</v>
      </c>
      <c r="E6" s="94" t="s">
        <v>113</v>
      </c>
      <c r="F6" s="94" t="s">
        <v>103</v>
      </c>
      <c r="G6" s="94" t="s">
        <v>114</v>
      </c>
      <c r="H6" s="94" t="s">
        <v>116</v>
      </c>
      <c r="I6" s="94" t="s">
        <v>104</v>
      </c>
      <c r="J6" s="94" t="s">
        <v>105</v>
      </c>
      <c r="K6" s="94" t="s">
        <v>6</v>
      </c>
      <c r="L6" s="102" t="s">
        <v>7</v>
      </c>
    </row>
    <row r="7" spans="1:12" ht="24.75" customHeight="1" x14ac:dyDescent="0.25">
      <c r="A7" s="104">
        <v>1</v>
      </c>
      <c r="B7" s="105" t="s">
        <v>40</v>
      </c>
      <c r="C7" s="104" t="s">
        <v>8</v>
      </c>
      <c r="D7" s="106">
        <v>0.23469999999999999</v>
      </c>
      <c r="E7" s="107">
        <v>4</v>
      </c>
      <c r="F7" s="107">
        <v>2</v>
      </c>
      <c r="G7" s="108" t="s">
        <v>115</v>
      </c>
      <c r="H7" s="109">
        <v>14500</v>
      </c>
      <c r="I7" s="107">
        <v>3</v>
      </c>
      <c r="J7" s="107">
        <v>30</v>
      </c>
      <c r="K7" s="109">
        <f>F7*H7*I7*J7</f>
        <v>2610000</v>
      </c>
      <c r="L7" s="110"/>
    </row>
    <row r="9" spans="1:12" ht="88.5" customHeight="1" x14ac:dyDescent="0.25">
      <c r="A9" s="195" t="s">
        <v>337</v>
      </c>
      <c r="B9" s="195"/>
      <c r="C9" s="195"/>
      <c r="D9" s="195"/>
      <c r="E9" s="195"/>
      <c r="F9" s="195"/>
      <c r="G9" s="195"/>
      <c r="H9" s="195"/>
      <c r="I9" s="195"/>
      <c r="J9" s="195"/>
      <c r="K9" s="195"/>
      <c r="L9" s="195"/>
    </row>
  </sheetData>
  <mergeCells count="5">
    <mergeCell ref="A4:L4"/>
    <mergeCell ref="A1:L1"/>
    <mergeCell ref="A2:L2"/>
    <mergeCell ref="A3:L3"/>
    <mergeCell ref="A9:L9"/>
  </mergeCells>
  <pageMargins left="0.33" right="0.16"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
  <sheetViews>
    <sheetView zoomScale="115" zoomScaleNormal="115" workbookViewId="0">
      <selection activeCell="L15" sqref="L15"/>
    </sheetView>
  </sheetViews>
  <sheetFormatPr defaultColWidth="10.28515625" defaultRowHeight="15.75" x14ac:dyDescent="0.25"/>
  <cols>
    <col min="1" max="1" width="4.5703125" style="115" bestFit="1" customWidth="1"/>
    <col min="2" max="2" width="17.140625" style="115" customWidth="1"/>
    <col min="3" max="3" width="9.28515625" style="126" customWidth="1"/>
    <col min="4" max="4" width="0" style="115" hidden="1" customWidth="1"/>
    <col min="5" max="6" width="10.28515625" style="115" customWidth="1"/>
    <col min="7" max="7" width="14.42578125" style="115" customWidth="1"/>
    <col min="8" max="8" width="9.28515625" style="115" customWidth="1"/>
    <col min="9" max="9" width="9.85546875" style="115" customWidth="1"/>
    <col min="10" max="10" width="11.28515625" style="115" customWidth="1"/>
    <col min="11" max="11" width="11.85546875" style="115" customWidth="1"/>
    <col min="12" max="12" width="22.42578125" style="115" customWidth="1"/>
    <col min="13" max="16384" width="10.28515625" style="115"/>
  </cols>
  <sheetData>
    <row r="1" spans="1:12" ht="24" customHeight="1" x14ac:dyDescent="0.25">
      <c r="A1" s="183" t="s">
        <v>368</v>
      </c>
      <c r="B1" s="183"/>
      <c r="C1" s="183"/>
      <c r="D1" s="183"/>
      <c r="E1" s="183"/>
      <c r="F1" s="183"/>
      <c r="G1" s="183"/>
      <c r="H1" s="183"/>
      <c r="I1" s="183"/>
      <c r="J1" s="183"/>
      <c r="K1" s="183"/>
      <c r="L1" s="183"/>
    </row>
    <row r="2" spans="1:12" s="116" customFormat="1" ht="20.100000000000001" customHeight="1" x14ac:dyDescent="0.25">
      <c r="A2" s="183" t="s">
        <v>98</v>
      </c>
      <c r="B2" s="183"/>
      <c r="C2" s="183"/>
      <c r="D2" s="183"/>
      <c r="E2" s="183"/>
      <c r="F2" s="183"/>
      <c r="G2" s="183"/>
      <c r="H2" s="183"/>
      <c r="I2" s="183"/>
      <c r="J2" s="183"/>
      <c r="K2" s="183"/>
      <c r="L2" s="183"/>
    </row>
    <row r="3" spans="1:12" s="116" customFormat="1" ht="20.100000000000001" customHeight="1" x14ac:dyDescent="0.25">
      <c r="A3" s="183" t="s">
        <v>101</v>
      </c>
      <c r="B3" s="183"/>
      <c r="C3" s="183"/>
      <c r="D3" s="183"/>
      <c r="E3" s="183"/>
      <c r="F3" s="183"/>
      <c r="G3" s="183"/>
      <c r="H3" s="183"/>
      <c r="I3" s="183"/>
      <c r="J3" s="183"/>
      <c r="K3" s="183"/>
      <c r="L3" s="183"/>
    </row>
    <row r="4" spans="1:12" s="116" customFormat="1" ht="20.100000000000001" customHeight="1" x14ac:dyDescent="0.25">
      <c r="A4" s="186" t="str">
        <f>'Tong Hop'!A4:L4</f>
        <v>(Kèm theo Quyết định số …../QĐ-UBND ngày …. tháng 01 năm 2024 của UBND huyện Ba Bể)</v>
      </c>
      <c r="B4" s="186"/>
      <c r="C4" s="186"/>
      <c r="D4" s="186"/>
      <c r="E4" s="186"/>
      <c r="F4" s="186"/>
      <c r="G4" s="186"/>
      <c r="H4" s="186"/>
      <c r="I4" s="186"/>
      <c r="J4" s="186"/>
      <c r="K4" s="186"/>
      <c r="L4" s="186"/>
    </row>
    <row r="5" spans="1:12" s="116" customFormat="1" ht="20.100000000000001" customHeight="1" x14ac:dyDescent="0.25">
      <c r="B5" s="117"/>
      <c r="C5" s="117"/>
      <c r="L5" s="117" t="s">
        <v>99</v>
      </c>
    </row>
    <row r="6" spans="1:12" s="119" customFormat="1" ht="25.5" customHeight="1" x14ac:dyDescent="0.25">
      <c r="A6" s="196" t="s">
        <v>88</v>
      </c>
      <c r="B6" s="196" t="s">
        <v>1</v>
      </c>
      <c r="C6" s="196" t="s">
        <v>19</v>
      </c>
      <c r="D6" s="118"/>
      <c r="E6" s="199" t="s">
        <v>89</v>
      </c>
      <c r="F6" s="199"/>
      <c r="G6" s="199" t="s">
        <v>90</v>
      </c>
      <c r="H6" s="199"/>
      <c r="I6" s="199" t="s">
        <v>91</v>
      </c>
      <c r="J6" s="199" t="s">
        <v>92</v>
      </c>
      <c r="K6" s="199" t="s">
        <v>93</v>
      </c>
      <c r="L6" s="198" t="s">
        <v>7</v>
      </c>
    </row>
    <row r="7" spans="1:12" s="119" customFormat="1" ht="36.75" customHeight="1" x14ac:dyDescent="0.25">
      <c r="A7" s="197"/>
      <c r="B7" s="197"/>
      <c r="C7" s="197"/>
      <c r="D7" s="118"/>
      <c r="E7" s="56" t="s">
        <v>94</v>
      </c>
      <c r="F7" s="83" t="s">
        <v>95</v>
      </c>
      <c r="G7" s="56" t="s">
        <v>96</v>
      </c>
      <c r="H7" s="83" t="s">
        <v>97</v>
      </c>
      <c r="I7" s="199"/>
      <c r="J7" s="199"/>
      <c r="K7" s="199"/>
      <c r="L7" s="198"/>
    </row>
    <row r="8" spans="1:12" x14ac:dyDescent="0.25">
      <c r="A8" s="120">
        <f>IF(B8="","",COUNTA($B$6:B7))</f>
        <v>1</v>
      </c>
      <c r="B8" s="121" t="s">
        <v>165</v>
      </c>
      <c r="C8" s="120" t="s">
        <v>8</v>
      </c>
      <c r="D8" s="121"/>
      <c r="E8" s="122"/>
      <c r="F8" s="122"/>
      <c r="G8" s="123">
        <v>10000000</v>
      </c>
      <c r="H8" s="122"/>
      <c r="I8" s="122"/>
      <c r="J8" s="122"/>
      <c r="K8" s="124">
        <f>SUM(E8:J8)</f>
        <v>10000000</v>
      </c>
      <c r="L8" s="139" t="s">
        <v>217</v>
      </c>
    </row>
    <row r="9" spans="1:12" x14ac:dyDescent="0.25">
      <c r="A9" s="120">
        <f>IF(B9="","",COUNTA($B$6:B8))</f>
        <v>2</v>
      </c>
      <c r="B9" s="121" t="s">
        <v>28</v>
      </c>
      <c r="C9" s="120" t="s">
        <v>8</v>
      </c>
      <c r="D9" s="121"/>
      <c r="E9" s="122"/>
      <c r="F9" s="122"/>
      <c r="G9" s="123"/>
      <c r="H9" s="122"/>
      <c r="I9" s="122"/>
      <c r="J9" s="122">
        <v>1000000</v>
      </c>
      <c r="K9" s="124">
        <f t="shared" ref="K9:K10" si="0">SUM(E9:J9)</f>
        <v>1000000</v>
      </c>
      <c r="L9" s="139" t="s">
        <v>162</v>
      </c>
    </row>
    <row r="10" spans="1:12" ht="31.5" x14ac:dyDescent="0.25">
      <c r="A10" s="120">
        <v>3</v>
      </c>
      <c r="B10" s="121" t="s">
        <v>31</v>
      </c>
      <c r="C10" s="120" t="s">
        <v>8</v>
      </c>
      <c r="D10" s="121"/>
      <c r="E10" s="125"/>
      <c r="F10" s="121"/>
      <c r="G10" s="125">
        <v>10000000</v>
      </c>
      <c r="H10" s="120"/>
      <c r="I10" s="121"/>
      <c r="J10" s="121"/>
      <c r="K10" s="124">
        <f t="shared" si="0"/>
        <v>10000000</v>
      </c>
      <c r="L10" s="140" t="s">
        <v>338</v>
      </c>
    </row>
  </sheetData>
  <mergeCells count="13">
    <mergeCell ref="A6:A7"/>
    <mergeCell ref="B6:B7"/>
    <mergeCell ref="C6:C7"/>
    <mergeCell ref="A1:L1"/>
    <mergeCell ref="A2:L2"/>
    <mergeCell ref="A3:L3"/>
    <mergeCell ref="A4:L4"/>
    <mergeCell ref="L6:L7"/>
    <mergeCell ref="E6:F6"/>
    <mergeCell ref="G6:H6"/>
    <mergeCell ref="I6:I7"/>
    <mergeCell ref="J6:J7"/>
    <mergeCell ref="K6:K7"/>
  </mergeCells>
  <conditionalFormatting sqref="B10:B1048576 B5:B6">
    <cfRule type="containsText" dxfId="2" priority="3" operator="containsText" text="Điện">
      <formula>NOT(ISERROR(SEARCH("Điện",B5)))</formula>
    </cfRule>
  </conditionalFormatting>
  <conditionalFormatting sqref="B8">
    <cfRule type="containsText" dxfId="1" priority="2" operator="containsText" text="Điện">
      <formula>NOT(ISERROR(SEARCH("Điện",B8)))</formula>
    </cfRule>
  </conditionalFormatting>
  <conditionalFormatting sqref="B9">
    <cfRule type="containsText" dxfId="0" priority="1" operator="containsText" text="Điện">
      <formula>NOT(ISERROR(SEARCH("Điện",B9)))</formula>
    </cfRule>
  </conditionalFormatting>
  <pageMargins left="0.17" right="0"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11</vt:i4>
      </vt:variant>
      <vt:variant>
        <vt:lpstr>Phạm vi có Tên</vt:lpstr>
      </vt:variant>
      <vt:variant>
        <vt:i4>7</vt:i4>
      </vt:variant>
    </vt:vector>
  </HeadingPairs>
  <TitlesOfParts>
    <vt:vector size="18" baseType="lpstr">
      <vt:lpstr>Tong Hop</vt:lpstr>
      <vt:lpstr>Dat Dai</vt:lpstr>
      <vt:lpstr>Tài sản</vt:lpstr>
      <vt:lpstr>Cây Cối</vt:lpstr>
      <vt:lpstr>Ho tro di doi nha</vt:lpstr>
      <vt:lpstr>CDN</vt:lpstr>
      <vt:lpstr>Ho tro ODDS</vt:lpstr>
      <vt:lpstr>Ho tro di doi nha (2)</vt:lpstr>
      <vt:lpstr>Ho tro de bi ton thuong (2)</vt:lpstr>
      <vt:lpstr>Sheet1</vt:lpstr>
      <vt:lpstr>Sheet2</vt:lpstr>
      <vt:lpstr>'Cây Cối'!Print_Titles</vt:lpstr>
      <vt:lpstr>CDN!Print_Titles</vt:lpstr>
      <vt:lpstr>'Ho tro de bi ton thuong (2)'!Print_Titles</vt:lpstr>
      <vt:lpstr>'Ho tro di doi nha'!Print_Titles</vt:lpstr>
      <vt:lpstr>'Ho tro di doi nha (2)'!Print_Titles</vt:lpstr>
      <vt:lpstr>'Tài sản'!Print_Titles</vt:lpstr>
      <vt:lpstr>'Tong Hop'!Print_Titles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2024-01-19T01:04:23Z</cp:lastPrinted>
  <dcterms:created xsi:type="dcterms:W3CDTF">2022-10-25T13:12:50Z</dcterms:created>
  <dcterms:modified xsi:type="dcterms:W3CDTF">2024-01-23T03:02:15Z</dcterms:modified>
</cp:coreProperties>
</file>