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40" activeTab="5"/>
  </bookViews>
  <sheets>
    <sheet name="Bieu 93" sheetId="1" r:id="rId1"/>
    <sheet name="Bieu 94" sheetId="2" r:id="rId2"/>
    <sheet name="Bieu 95" sheetId="3" state="hidden" r:id="rId3"/>
    <sheet name="Sheet2" sheetId="4" state="hidden" r:id="rId4"/>
    <sheet name="95" sheetId="5" state="hidden" r:id="rId5"/>
    <sheet name="bieu 095" sheetId="6" r:id="rId6"/>
    <sheet name="Sheet1" sheetId="7" state="hidden" r:id="rId7"/>
    <sheet name="Sheet3" sheetId="8" state="hidden" r:id="rId8"/>
    <sheet name="ty le" sheetId="9" state="hidden" r:id="rId9"/>
  </sheets>
  <externalReferences>
    <externalReference r:id="rId12"/>
    <externalReference r:id="rId13"/>
    <externalReference r:id="rId14"/>
  </externalReferences>
  <definedNames>
    <definedName name="_xlnm.Print_Titles" localSheetId="2">'Bieu 95'!$5:$7</definedName>
  </definedNames>
  <calcPr fullCalcOnLoad="1"/>
</workbook>
</file>

<file path=xl/comments4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<sst xmlns="http://schemas.openxmlformats.org/spreadsheetml/2006/main" count="1221" uniqueCount="330">
  <si>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</si>
  <si>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</si>
  <si>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</si>
  <si>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</si>
  <si>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</si>
  <si>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</si>
  <si>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</si>
  <si>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</si>
  <si>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</si>
  <si>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</si>
  <si>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</si>
  <si>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</si>
  <si>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</si>
  <si>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</si>
  <si>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</si>
  <si>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</si>
  <si>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</si>
  <si>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</si>
  <si>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</si>
  <si>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</si>
  <si>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</si>
  <si>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</si>
  <si>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</si>
  <si>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</si>
  <si>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</si>
  <si>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</si>
  <si>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</si>
  <si>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</si>
  <si>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</si>
  <si>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</si>
  <si>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</si>
  <si>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</si>
  <si>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</si>
  <si>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</si>
  <si>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</si>
  <si>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</si>
  <si>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</si>
  <si>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</si>
  <si>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</si>
  <si>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</si>
  <si>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</si>
  <si>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</si>
  <si>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</si>
  <si>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</si>
  <si>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</si>
  <si>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</si>
  <si>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</si>
  <si>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</si>
  <si>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</si>
  <si>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</si>
  <si>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</si>
  <si>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</si>
  <si>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</si>
  <si>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</si>
  <si>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</si>
  <si>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</si>
  <si>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</si>
  <si>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</si>
  <si>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</si>
  <si>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</si>
  <si>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</si>
  <si>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</si>
  <si>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</si>
  <si>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</si>
  <si>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</si>
  <si>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</si>
  <si>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</si>
  <si>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</si>
  <si>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</si>
  <si>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</si>
  <si>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</si>
  <si>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</si>
  <si>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</si>
  <si>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</si>
  <si>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</si>
  <si>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</si>
  <si>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</si>
  <si>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</si>
  <si>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</si>
  <si>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</si>
  <si>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</si>
  <si>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</si>
  <si>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</si>
  <si>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</si>
  <si>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</si>
  <si>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</si>
  <si>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</si>
  <si>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</si>
  <si>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</si>
  <si>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</si>
  <si>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</si>
  <si>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</si>
  <si>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</si>
  <si>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</si>
  <si>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</si>
  <si>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</si>
  <si>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</si>
  <si>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</si>
  <si>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</si>
  <si>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</si>
  <si>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</si>
  <si>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Chi các chương trình mục tiêu, nhiệm vụ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</si>
  <si>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</si>
  <si>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</si>
  <si>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</si>
  <si>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</si>
  <si>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</si>
  <si>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</si>
  <si>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</si>
  <si>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</si>
  <si>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</si>
  <si>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</si>
  <si>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</si>
  <si>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</si>
  <si>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</si>
  <si>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</si>
  <si>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</si>
  <si>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</si>
  <si>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</si>
  <si>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</si>
  <si>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</si>
  <si>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</si>
  <si>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</si>
  <si>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</si>
  <si>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</si>
  <si>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</si>
  <si>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</si>
  <si>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</si>
  <si>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</si>
  <si>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</si>
  <si>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</si>
  <si>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</si>
  <si>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</si>
  <si>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</si>
  <si>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</si>
  <si>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</si>
  <si>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</si>
  <si>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</si>
  <si>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</si>
  <si>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</si>
  <si>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</si>
  <si>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</si>
  <si>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</si>
  <si>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</si>
  <si>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</si>
  <si>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</si>
  <si>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</si>
  <si>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</si>
  <si>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</si>
  <si>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</si>
  <si>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</si>
  <si>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</si>
  <si>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</si>
  <si>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</si>
  <si>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</si>
  <si>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</si>
  <si>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</si>
  <si>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</si>
  <si>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</si>
  <si>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</si>
  <si>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</si>
  <si>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</si>
  <si>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</si>
  <si>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</si>
  <si>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</si>
  <si>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</si>
  <si>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</si>
  <si>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</si>
  <si>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</si>
  <si>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</si>
  <si>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</si>
  <si>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</si>
  <si>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</si>
  <si>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</si>
  <si>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</si>
  <si>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</si>
  <si>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</si>
  <si>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</si>
  <si>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</si>
  <si>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</si>
  <si>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</si>
  <si>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</si>
  <si>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</si>
  <si>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</si>
  <si>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</si>
  <si>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</si>
  <si>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</si>
  <si>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</si>
  <si>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</si>
  <si>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</si>
  <si>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</si>
  <si>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</si>
  <si>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</si>
  <si>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</si>
  <si>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</si>
  <si>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</si>
  <si>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</si>
  <si>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</si>
  <si>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</si>
  <si>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</si>
  <si>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</si>
  <si>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</si>
  <si>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</si>
  <si>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</si>
  <si>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</si>
  <si>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</si>
  <si>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</si>
  <si>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</si>
  <si>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</si>
  <si>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</si>
  <si>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</si>
  <si>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</si>
  <si>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</si>
  <si>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</si>
  <si>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</si>
  <si>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</si>
  <si>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</si>
  <si>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</si>
  <si>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</si>
  <si>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</si>
  <si>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</si>
  <si>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</si>
  <si>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</si>
  <si>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</si>
  <si>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</si>
  <si>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</si>
  <si>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</si>
  <si>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</si>
  <si>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</si>
  <si>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</si>
  <si>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</si>
  <si>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</si>
  <si>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</si>
  <si>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</si>
  <si>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</si>
  <si>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</si>
  <si>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</si>
  <si>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</si>
  <si>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</si>
  <si>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</si>
  <si>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</si>
  <si>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</si>
  <si>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</si>
  <si>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</si>
  <si>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</si>
  <si>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</si>
  <si>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</si>
  <si>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</si>
  <si>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</si>
  <si>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</si>
  <si>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</si>
  <si>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</si>
  <si>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</si>
  <si>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</si>
  <si>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</si>
  <si>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</si>
  <si>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</si>
  <si>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</si>
  <si>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</si>
  <si>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</si>
  <si>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</si>
  <si>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thu tiền sử dụng đất (cấp giấy bản đồ)</t>
  </si>
  <si>
    <t>Phân bổ QĐ 471 của tỉnh</t>
  </si>
  <si>
    <t>Phân bổ QĐ 899 của tỉnh Dự án PT sản xuất</t>
  </si>
  <si>
    <t>Hỗ trợ thực hiện dự án phát triển sản xuất liên kết theo chuỗi giá trị gắn với tiêu thụ sản phẩm năm 2020 (theo Quyết định số 4781/QĐ-BNN-VPĐP ngày 21/11/2017 của Bộ Nông nghiệp và PTNT)</t>
  </si>
  <si>
    <t>Dự án phát triển sản xuất liên kết theo chuỗi giá trị, gắn sản xuất với tiêu thụ sản phẩm Lợn Lai Trắng xã Chu Hương</t>
  </si>
  <si>
    <t>Dự án phát triển sản xuất liên kết theo chuỗi giá trị, gắn sản xuất với tiêu thụ sản phẩm Dê xã Mỹ Phương</t>
  </si>
  <si>
    <t>Dự án phát triển sản xuất liên kết theo chuỗi giá trị, gắn sản xuất với tiêu thụ sản phẩm Lợn thịt (lợn địa phương) xã Hà Hiệu</t>
  </si>
  <si>
    <t>Hỗ trợ thực hiện dự án liên kết trong sản xuất và tiêu thụ sản phẩm nông nghiệp trên địa bàn tỉnh năm 2020 (theo Nghị quyết 08/2019/NQ-HĐND ngày 17/7/2019 của HĐND tỉnh)</t>
  </si>
  <si>
    <t>Nguồn vốn Hỗ trợ đồng bào dân tộc miền núi theo QĐ số 2085/QĐ-TTg ngày 31/10/2016 (QĐ giao số 1520 ngày 9/07/2020)</t>
  </si>
  <si>
    <t>*</t>
  </si>
  <si>
    <t>Chương trình mục tiêu</t>
  </si>
  <si>
    <t>Nhiệm vụ</t>
  </si>
  <si>
    <t>GD</t>
  </si>
  <si>
    <t>PHÓ TRƯỞNG PHÒNG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</si>
  <si>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</si>
  <si>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</si>
  <si>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</si>
  <si>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</si>
  <si>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</si>
  <si>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</si>
  <si>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</si>
  <si>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</si>
  <si>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</si>
  <si>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</si>
  <si>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</si>
  <si>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</si>
  <si>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</si>
  <si>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</si>
  <si>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</si>
  <si>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</si>
  <si>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</si>
  <si>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</si>
  <si>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</si>
  <si>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</si>
  <si>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</si>
  <si>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</si>
  <si>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</si>
  <si>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Chi thực hiện cải cách tiền lương từ nguồn tiết kiệm 10% chi thường xuyên</t>
  </si>
  <si>
    <t>Kinh phí thực hiện nhiệm vụ bảo đảm trật tự an toàn giao thông</t>
  </si>
  <si>
    <t>Kinh phí quản lý, bảo trì đường bộ cho các quỹ bảo trì đường bộ địa phương</t>
  </si>
  <si>
    <t>Kinh phí hỗ trợ đưa người lao động đi làm việc ở nước ngoài theo hợp đồng theo Thông tư số 09/2016/TTLT ngày 15/6/2016 của liên Bộ Lao động -TBXH - Bộ Tài chính</t>
  </si>
  <si>
    <t>Dự toán năm 2023</t>
  </si>
  <si>
    <t>Dự toán giao đầu năm năm 2023</t>
  </si>
  <si>
    <t>CTMTQG phát triển KT-XH vùng đồng bào DTTS&amp;MN</t>
  </si>
  <si>
    <t>Chương trình MTQG giảm nghèo bền vững</t>
  </si>
  <si>
    <t>Chi SN môi trường</t>
  </si>
  <si>
    <t>Ql</t>
  </si>
  <si>
    <t>kt</t>
  </si>
  <si>
    <t>VHTT</t>
  </si>
  <si>
    <t>BTXH</t>
  </si>
  <si>
    <t>nông nghiệp</t>
  </si>
  <si>
    <t>Môi truon</t>
  </si>
  <si>
    <t>098</t>
  </si>
  <si>
    <t>071</t>
  </si>
  <si>
    <t>072</t>
  </si>
  <si>
    <t>083</t>
  </si>
  <si>
    <t>thể dục, thể thao</t>
  </si>
  <si>
    <t>văn hóa</t>
  </si>
  <si>
    <t>SN</t>
  </si>
  <si>
    <t>ĐT</t>
  </si>
  <si>
    <t>y te</t>
  </si>
  <si>
    <t>thuy lọi</t>
  </si>
  <si>
    <t>ƯỚC THỰC HIỆN THU NGÂN SÁCH NHÀ NƯỚC 9 THÁNG ĐẦU NĂM NĂM 2023</t>
  </si>
  <si>
    <t>Ước thực hiện 9 tháng đầu năm 2023</t>
  </si>
  <si>
    <t>CÂN ĐỐI NGÂN SÁCH ĐỊA PHƯƠNG 9 THÁNG ĐẦU NĂM  NĂM 2023</t>
  </si>
  <si>
    <t>Uớc thực hiện 9 tháng đầu năm 2023</t>
  </si>
  <si>
    <t>Chương trình MTQG xây dựng NTM</t>
  </si>
  <si>
    <t xml:space="preserve"> ƯỚC THỰC HIỆN CHI NGÂN SÁCH ĐỊA PHƯƠNG 9 THÁNG ĐẦU NĂM 
NĂM 2023</t>
  </si>
  <si>
    <t>(Kèm theo Quyết định số:     QĐ-UBND ngày     tháng 10 năm 2023 của UBND huyện Ba Bể)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</si>
</sst>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-* #,##0.000\ _₫_-;\-* #,##0.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#,##0.0"/>
    <numFmt numFmtId="181" formatCode="_(* #,##0.000_);_(* \(#,##0.000\);_(* &quot;-&quot;??_);_(@_)"/>
    <numFmt numFmtId="182" formatCode="_(* #,##0.000000_);_(* \(#,##0.000000\);_(* &quot;-&quot;??_);_(@_)"/>
    <numFmt numFmtId="183" formatCode="_(* #,##0_);_(* \(#,##0\);_(* &quot;-&quot;??_);_(@_)"/>
    <numFmt numFmtId="184" formatCode="_-* #,##0.000000\ _₫_-;\-* #,##0.000000\ _₫_-;_-* &quot;-&quot;??????\ _₫_-;_-@_-"/>
    <numFmt numFmtId="185" formatCode="_-* #,##0.000\ _₫_-;\-* #,##0.000\ _₫_-;_-* &quot;-&quot;???\ _₫_-;_-@_-"/>
    <numFmt numFmtId="186" formatCode="_-* #,##0.0\ _₫_-;\-* #,##0.0\ _₫_-;_-* &quot;-&quot;?\ _₫_-;_-@_-"/>
    <numFmt numFmtId="187" formatCode="#,##0.000"/>
    <numFmt numFmtId="188" formatCode="0.000"/>
    <numFmt numFmtId="189" formatCode="[$€-2]\ #,##0.00_);[Red]\([$€-2]\ #,##0.00\)"/>
    <numFmt numFmtId="190" formatCode="_-* #,##0.0000\ _₫_-;\-* #,##0.0000\ _₫_-;_-* &quot;-&quot;??\ _₫_-;_-@_-"/>
    <numFmt numFmtId="191" formatCode="_(* #,##0.0_);_(* \(#,##0.0\);_(* &quot;-&quot;?_);_(@_)"/>
  </numFmts>
  <fonts count="102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8"/>
      <name val="times new roman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Helvetica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" fillId="0" borderId="0">
      <alignment/>
      <protection/>
    </xf>
    <xf numFmtId="16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19" borderId="4" applyNumberFormat="0" applyAlignment="0" applyProtection="0"/>
    <xf numFmtId="0" fontId="69" fillId="20" borderId="5" applyNumberFormat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70" fillId="22" borderId="9" applyNumberFormat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3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19" borderId="5" applyNumberFormat="0" applyAlignment="0" applyProtection="0"/>
    <xf numFmtId="0" fontId="76" fillId="0" borderId="11" applyNumberFormat="0" applyFill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534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72" fontId="9" fillId="32" borderId="14" xfId="59" applyNumberFormat="1" applyFont="1" applyFill="1" applyBorder="1" applyAlignment="1">
      <alignment vertical="center"/>
      <protection/>
    </xf>
    <xf numFmtId="0" fontId="9" fillId="32" borderId="14" xfId="59" applyFont="1" applyFill="1" applyBorder="1" applyAlignment="1">
      <alignment vertical="center"/>
      <protection/>
    </xf>
    <xf numFmtId="0" fontId="9" fillId="32" borderId="14" xfId="59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4" fontId="10" fillId="32" borderId="13" xfId="39" applyNumberFormat="1" applyFont="1" applyFill="1" applyBorder="1" applyAlignment="1">
      <alignment horizontal="right" vertical="center" wrapText="1"/>
    </xf>
    <xf numFmtId="174" fontId="10" fillId="32" borderId="14" xfId="39" applyNumberFormat="1" applyFont="1" applyFill="1" applyBorder="1" applyAlignment="1">
      <alignment horizontal="right" vertical="center" wrapText="1"/>
    </xf>
    <xf numFmtId="174" fontId="9" fillId="32" borderId="14" xfId="39" applyNumberFormat="1" applyFont="1" applyFill="1" applyBorder="1" applyAlignment="1">
      <alignment horizontal="right" vertical="center" wrapText="1"/>
    </xf>
    <xf numFmtId="3" fontId="9" fillId="32" borderId="14" xfId="39" applyNumberFormat="1" applyFont="1" applyFill="1" applyBorder="1" applyAlignment="1">
      <alignment horizontal="right" vertical="center"/>
    </xf>
    <xf numFmtId="3" fontId="9" fillId="32" borderId="15" xfId="39" applyNumberFormat="1" applyFont="1" applyFill="1" applyBorder="1" applyAlignment="1">
      <alignment horizontal="right" vertical="center"/>
    </xf>
    <xf numFmtId="3" fontId="10" fillId="32" borderId="14" xfId="39" applyNumberFormat="1" applyFont="1" applyFill="1" applyBorder="1" applyAlignment="1">
      <alignment horizontal="right" vertical="center" wrapText="1"/>
    </xf>
    <xf numFmtId="3" fontId="9" fillId="32" borderId="14" xfId="39" applyNumberFormat="1" applyFont="1" applyFill="1" applyBorder="1" applyAlignment="1">
      <alignment horizontal="right" vertical="center" wrapText="1"/>
    </xf>
    <xf numFmtId="3" fontId="9" fillId="32" borderId="14" xfId="39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39" applyNumberFormat="1" applyFont="1" applyFill="1" applyBorder="1" applyAlignment="1">
      <alignment horizontal="right" vertical="center" wrapText="1"/>
    </xf>
    <xf numFmtId="3" fontId="9" fillId="32" borderId="16" xfId="39" applyNumberFormat="1" applyFont="1" applyFill="1" applyBorder="1" applyAlignment="1">
      <alignment horizontal="right"/>
    </xf>
    <xf numFmtId="3" fontId="11" fillId="32" borderId="14" xfId="39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4" fontId="9" fillId="32" borderId="16" xfId="39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4" fontId="9" fillId="32" borderId="17" xfId="39" applyNumberFormat="1" applyFont="1" applyFill="1" applyBorder="1" applyAlignment="1">
      <alignment horizontal="right" vertical="center" wrapText="1"/>
    </xf>
    <xf numFmtId="3" fontId="9" fillId="32" borderId="17" xfId="39" applyNumberFormat="1" applyFont="1" applyFill="1" applyBorder="1" applyAlignment="1">
      <alignment horizontal="right" vertical="center" wrapText="1"/>
    </xf>
    <xf numFmtId="3" fontId="9" fillId="32" borderId="17" xfId="39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4" fontId="12" fillId="0" borderId="0" xfId="39" applyNumberFormat="1" applyFont="1" applyAlignment="1">
      <alignment/>
    </xf>
    <xf numFmtId="3" fontId="12" fillId="0" borderId="0" xfId="39" applyNumberFormat="1" applyFont="1" applyAlignment="1">
      <alignment/>
    </xf>
    <xf numFmtId="174" fontId="12" fillId="0" borderId="0" xfId="0" applyNumberFormat="1" applyFont="1" applyAlignment="1">
      <alignment/>
    </xf>
    <xf numFmtId="3" fontId="12" fillId="0" borderId="14" xfId="39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39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15" fillId="0" borderId="0" xfId="33" applyFont="1">
      <alignment/>
      <protection/>
    </xf>
    <xf numFmtId="0" fontId="17" fillId="0" borderId="18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vertical="center" wrapText="1"/>
      <protection/>
    </xf>
    <xf numFmtId="0" fontId="18" fillId="0" borderId="18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19" fillId="0" borderId="0" xfId="0" applyFont="1" applyAlignment="1">
      <alignment/>
    </xf>
    <xf numFmtId="173" fontId="20" fillId="0" borderId="0" xfId="39" applyNumberFormat="1" applyFont="1" applyAlignment="1">
      <alignment/>
    </xf>
    <xf numFmtId="174" fontId="20" fillId="0" borderId="0" xfId="39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4" fontId="10" fillId="0" borderId="13" xfId="39" applyNumberFormat="1" applyFont="1" applyFill="1" applyBorder="1" applyAlignment="1">
      <alignment horizontal="right" vertical="center" wrapText="1"/>
    </xf>
    <xf numFmtId="174" fontId="9" fillId="0" borderId="14" xfId="39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4" fontId="10" fillId="0" borderId="14" xfId="39" applyNumberFormat="1" applyFont="1" applyFill="1" applyBorder="1" applyAlignment="1">
      <alignment horizontal="right" vertical="center" wrapText="1"/>
    </xf>
    <xf numFmtId="174" fontId="12" fillId="0" borderId="0" xfId="39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39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10" fillId="0" borderId="14" xfId="39" applyNumberFormat="1" applyFont="1" applyFill="1" applyBorder="1" applyAlignment="1">
      <alignment horizontal="right" vertical="center" wrapText="1"/>
    </xf>
    <xf numFmtId="172" fontId="9" fillId="0" borderId="14" xfId="59" applyNumberFormat="1" applyFont="1" applyFill="1" applyBorder="1" applyAlignment="1">
      <alignment vertical="center"/>
      <protection/>
    </xf>
    <xf numFmtId="3" fontId="9" fillId="0" borderId="14" xfId="39" applyNumberFormat="1" applyFont="1" applyFill="1" applyBorder="1" applyAlignment="1">
      <alignment horizontal="right" vertical="center"/>
    </xf>
    <xf numFmtId="3" fontId="9" fillId="0" borderId="14" xfId="39" applyNumberFormat="1" applyFont="1" applyFill="1" applyBorder="1" applyAlignment="1">
      <alignment/>
    </xf>
    <xf numFmtId="3" fontId="9" fillId="0" borderId="14" xfId="39" applyNumberFormat="1" applyFont="1" applyFill="1" applyBorder="1" applyAlignment="1">
      <alignment horizontal="right" vertical="center" wrapText="1"/>
    </xf>
    <xf numFmtId="0" fontId="9" fillId="0" borderId="14" xfId="59" applyFont="1" applyFill="1" applyBorder="1" applyAlignment="1">
      <alignment vertical="center"/>
      <protection/>
    </xf>
    <xf numFmtId="0" fontId="9" fillId="0" borderId="14" xfId="59" applyNumberFormat="1" applyFont="1" applyFill="1" applyBorder="1" applyAlignment="1">
      <alignment vertical="center"/>
      <protection/>
    </xf>
    <xf numFmtId="3" fontId="10" fillId="0" borderId="14" xfId="39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39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39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3" fontId="9" fillId="0" borderId="20" xfId="39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39" applyNumberFormat="1" applyFont="1" applyFill="1" applyBorder="1" applyAlignment="1">
      <alignment horizontal="right" vertical="center" wrapText="1"/>
    </xf>
    <xf numFmtId="3" fontId="9" fillId="0" borderId="16" xfId="39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4" fontId="9" fillId="0" borderId="16" xfId="39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4" fontId="9" fillId="0" borderId="17" xfId="39" applyNumberFormat="1" applyFont="1" applyFill="1" applyBorder="1" applyAlignment="1">
      <alignment horizontal="right" vertical="center" wrapText="1"/>
    </xf>
    <xf numFmtId="3" fontId="9" fillId="0" borderId="17" xfId="39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39" applyNumberFormat="1" applyFont="1" applyFill="1" applyAlignment="1">
      <alignment horizontal="right"/>
    </xf>
    <xf numFmtId="0" fontId="12" fillId="0" borderId="21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0" fontId="83" fillId="0" borderId="22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174" fontId="8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2" fillId="0" borderId="0" xfId="0" applyNumberFormat="1" applyFont="1" applyFill="1" applyAlignment="1">
      <alignment/>
    </xf>
    <xf numFmtId="174" fontId="82" fillId="0" borderId="0" xfId="39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9" fillId="0" borderId="23" xfId="39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174" fontId="10" fillId="0" borderId="24" xfId="39" applyNumberFormat="1" applyFont="1" applyFill="1" applyBorder="1" applyAlignment="1">
      <alignment vertical="center" wrapText="1"/>
    </xf>
    <xf numFmtId="187" fontId="9" fillId="0" borderId="25" xfId="59" applyNumberFormat="1" applyFont="1" applyFill="1" applyBorder="1" applyAlignment="1">
      <alignment horizontal="center" vertical="center" wrapText="1"/>
      <protection/>
    </xf>
    <xf numFmtId="187" fontId="9" fillId="0" borderId="0" xfId="59" applyNumberFormat="1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174" fontId="10" fillId="0" borderId="26" xfId="39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74" fontId="9" fillId="0" borderId="26" xfId="39" applyNumberFormat="1" applyFont="1" applyFill="1" applyBorder="1" applyAlignment="1">
      <alignment vertical="center" wrapText="1"/>
    </xf>
    <xf numFmtId="174" fontId="84" fillId="0" borderId="26" xfId="39" applyNumberFormat="1" applyFont="1" applyFill="1" applyBorder="1" applyAlignment="1">
      <alignment vertical="center" wrapText="1"/>
    </xf>
    <xf numFmtId="174" fontId="9" fillId="0" borderId="0" xfId="39" applyNumberFormat="1" applyFont="1" applyFill="1" applyBorder="1" applyAlignment="1">
      <alignment vertical="center" wrapText="1"/>
    </xf>
    <xf numFmtId="10" fontId="9" fillId="0" borderId="0" xfId="63" applyNumberFormat="1" applyFont="1" applyFill="1" applyBorder="1" applyAlignment="1">
      <alignment vertical="center" wrapText="1"/>
    </xf>
    <xf numFmtId="3" fontId="10" fillId="0" borderId="27" xfId="38" applyNumberFormat="1" applyFont="1" applyFill="1" applyBorder="1" applyAlignment="1">
      <alignment/>
    </xf>
    <xf numFmtId="172" fontId="9" fillId="0" borderId="26" xfId="59" applyNumberFormat="1" applyFont="1" applyFill="1" applyBorder="1" applyAlignment="1">
      <alignment vertical="center"/>
      <protection/>
    </xf>
    <xf numFmtId="174" fontId="9" fillId="0" borderId="28" xfId="39" applyNumberFormat="1" applyFont="1" applyFill="1" applyBorder="1" applyAlignment="1">
      <alignment horizontal="center" vertical="center" wrapText="1"/>
    </xf>
    <xf numFmtId="174" fontId="9" fillId="0" borderId="26" xfId="39" applyNumberFormat="1" applyFont="1" applyFill="1" applyBorder="1" applyAlignment="1">
      <alignment vertical="center"/>
    </xf>
    <xf numFmtId="174" fontId="84" fillId="0" borderId="26" xfId="39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/>
    </xf>
    <xf numFmtId="10" fontId="9" fillId="0" borderId="0" xfId="63" applyNumberFormat="1" applyFont="1" applyFill="1" applyBorder="1" applyAlignment="1">
      <alignment vertical="center"/>
    </xf>
    <xf numFmtId="0" fontId="9" fillId="0" borderId="26" xfId="59" applyFont="1" applyFill="1" applyBorder="1" applyAlignment="1">
      <alignment vertical="center"/>
      <protection/>
    </xf>
    <xf numFmtId="0" fontId="9" fillId="0" borderId="26" xfId="59" applyNumberFormat="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49" fontId="85" fillId="0" borderId="29" xfId="0" applyNumberFormat="1" applyFont="1" applyFill="1" applyBorder="1" applyAlignment="1">
      <alignment horizontal="left" vertical="center" wrapText="1"/>
    </xf>
    <xf numFmtId="0" fontId="9" fillId="0" borderId="30" xfId="54" applyFont="1" applyFill="1" applyBorder="1" applyAlignment="1">
      <alignment horizontal="left" vertical="center" wrapText="1"/>
      <protection/>
    </xf>
    <xf numFmtId="0" fontId="86" fillId="0" borderId="30" xfId="54" applyFont="1" applyFill="1" applyBorder="1" applyAlignment="1">
      <alignment horizontal="left" vertical="center" wrapText="1"/>
      <protection/>
    </xf>
    <xf numFmtId="174" fontId="9" fillId="0" borderId="31" xfId="39" applyNumberFormat="1" applyFont="1" applyFill="1" applyBorder="1" applyAlignment="1">
      <alignment vertical="center" wrapText="1"/>
    </xf>
    <xf numFmtId="174" fontId="87" fillId="0" borderId="26" xfId="39" applyNumberFormat="1" applyFont="1" applyFill="1" applyBorder="1" applyAlignment="1">
      <alignment vertical="center" wrapText="1"/>
    </xf>
    <xf numFmtId="174" fontId="87" fillId="0" borderId="31" xfId="39" applyNumberFormat="1" applyFont="1" applyFill="1" applyBorder="1" applyAlignment="1">
      <alignment vertical="center" wrapText="1"/>
    </xf>
    <xf numFmtId="174" fontId="10" fillId="0" borderId="32" xfId="39" applyNumberFormat="1" applyFont="1" applyFill="1" applyBorder="1" applyAlignment="1">
      <alignment horizontal="center" vertical="center" wrapText="1"/>
    </xf>
    <xf numFmtId="174" fontId="10" fillId="0" borderId="29" xfId="39" applyNumberFormat="1" applyFont="1" applyFill="1" applyBorder="1" applyAlignment="1">
      <alignment horizontal="center" vertical="center" wrapText="1"/>
    </xf>
    <xf numFmtId="174" fontId="9" fillId="0" borderId="29" xfId="39" applyNumberFormat="1" applyFont="1" applyFill="1" applyBorder="1" applyAlignment="1">
      <alignment horizontal="center" vertical="center" wrapText="1"/>
    </xf>
    <xf numFmtId="174" fontId="9" fillId="0" borderId="33" xfId="39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left" vertical="center" wrapText="1"/>
    </xf>
    <xf numFmtId="174" fontId="10" fillId="0" borderId="33" xfId="39" applyNumberFormat="1" applyFont="1" applyFill="1" applyBorder="1" applyAlignment="1">
      <alignment horizontal="center" vertical="center" wrapText="1"/>
    </xf>
    <xf numFmtId="174" fontId="84" fillId="0" borderId="28" xfId="39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174" fontId="21" fillId="0" borderId="27" xfId="39" applyNumberFormat="1" applyFont="1" applyFill="1" applyBorder="1" applyAlignment="1">
      <alignment horizontal="center" vertical="center" wrapText="1"/>
    </xf>
    <xf numFmtId="174" fontId="21" fillId="0" borderId="27" xfId="39" applyNumberFormat="1" applyFont="1" applyFill="1" applyBorder="1" applyAlignment="1">
      <alignment horizontal="center" vertical="center" wrapText="1"/>
    </xf>
    <xf numFmtId="174" fontId="0" fillId="0" borderId="0" xfId="39" applyNumberFormat="1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10" fontId="9" fillId="0" borderId="26" xfId="63" applyNumberFormat="1" applyFont="1" applyFill="1" applyBorder="1" applyAlignment="1">
      <alignment vertical="center" wrapText="1"/>
    </xf>
    <xf numFmtId="10" fontId="9" fillId="0" borderId="26" xfId="63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" fontId="26" fillId="0" borderId="26" xfId="0" applyNumberFormat="1" applyFont="1" applyFill="1" applyBorder="1" applyAlignment="1">
      <alignment vertical="center" wrapText="1"/>
    </xf>
    <xf numFmtId="174" fontId="26" fillId="0" borderId="26" xfId="39" applyNumberFormat="1" applyFont="1" applyFill="1" applyBorder="1" applyAlignment="1">
      <alignment horizontal="left" vertical="center" wrapText="1"/>
    </xf>
    <xf numFmtId="4" fontId="27" fillId="0" borderId="26" xfId="0" applyNumberFormat="1" applyFont="1" applyFill="1" applyBorder="1" applyAlignment="1">
      <alignment vertical="center" wrapText="1"/>
    </xf>
    <xf numFmtId="174" fontId="84" fillId="0" borderId="28" xfId="39" applyNumberFormat="1" applyFont="1" applyFill="1" applyBorder="1" applyAlignment="1">
      <alignment horizontal="center"/>
    </xf>
    <xf numFmtId="41" fontId="88" fillId="0" borderId="27" xfId="38" applyFont="1" applyFill="1" applyBorder="1" applyAlignment="1">
      <alignment/>
    </xf>
    <xf numFmtId="0" fontId="89" fillId="0" borderId="34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4" fontId="76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 horizontal="left" wrapText="1"/>
    </xf>
    <xf numFmtId="0" fontId="85" fillId="0" borderId="29" xfId="0" applyFont="1" applyFill="1" applyBorder="1" applyAlignment="1">
      <alignment horizontal="center"/>
    </xf>
    <xf numFmtId="0" fontId="84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71" fillId="0" borderId="30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88" fillId="0" borderId="35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90" fillId="0" borderId="30" xfId="0" applyFont="1" applyFill="1" applyBorder="1" applyAlignment="1">
      <alignment vertical="center" wrapText="1"/>
    </xf>
    <xf numFmtId="0" fontId="91" fillId="0" borderId="26" xfId="0" applyFont="1" applyFill="1" applyBorder="1" applyAlignment="1">
      <alignment horizontal="center"/>
    </xf>
    <xf numFmtId="0" fontId="86" fillId="0" borderId="26" xfId="0" applyFont="1" applyFill="1" applyBorder="1" applyAlignment="1">
      <alignment horizontal="center"/>
    </xf>
    <xf numFmtId="174" fontId="86" fillId="0" borderId="26" xfId="39" applyNumberFormat="1" applyFont="1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86" fillId="0" borderId="33" xfId="0" applyFont="1" applyFill="1" applyBorder="1" applyAlignment="1">
      <alignment horizontal="center"/>
    </xf>
    <xf numFmtId="174" fontId="9" fillId="0" borderId="33" xfId="39" applyNumberFormat="1" applyFont="1" applyFill="1" applyBorder="1" applyAlignment="1">
      <alignment horizontal="center"/>
    </xf>
    <xf numFmtId="174" fontId="86" fillId="0" borderId="33" xfId="39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41" fontId="18" fillId="0" borderId="27" xfId="38" applyFont="1" applyFill="1" applyBorder="1" applyAlignment="1">
      <alignment/>
    </xf>
    <xf numFmtId="41" fontId="18" fillId="0" borderId="36" xfId="38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 vertical="center" wrapText="1"/>
    </xf>
    <xf numFmtId="174" fontId="10" fillId="0" borderId="37" xfId="39" applyNumberFormat="1" applyFont="1" applyFill="1" applyBorder="1" applyAlignment="1">
      <alignment horizontal="center" vertical="center" wrapText="1"/>
    </xf>
    <xf numFmtId="174" fontId="9" fillId="0" borderId="31" xfId="39" applyNumberFormat="1" applyFont="1" applyFill="1" applyBorder="1" applyAlignment="1">
      <alignment horizontal="center" vertical="center" wrapText="1"/>
    </xf>
    <xf numFmtId="41" fontId="18" fillId="0" borderId="38" xfId="38" applyFont="1" applyFill="1" applyBorder="1" applyAlignment="1">
      <alignment/>
    </xf>
    <xf numFmtId="174" fontId="86" fillId="0" borderId="31" xfId="39" applyNumberFormat="1" applyFont="1" applyFill="1" applyBorder="1" applyAlignment="1">
      <alignment horizontal="center"/>
    </xf>
    <xf numFmtId="0" fontId="86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left" vertical="center" wrapText="1"/>
    </xf>
    <xf numFmtId="174" fontId="10" fillId="0" borderId="34" xfId="39" applyNumberFormat="1" applyFont="1" applyFill="1" applyBorder="1" applyAlignment="1">
      <alignment horizontal="center" vertical="center" wrapText="1"/>
    </xf>
    <xf numFmtId="174" fontId="9" fillId="0" borderId="34" xfId="39" applyNumberFormat="1" applyFont="1" applyFill="1" applyBorder="1" applyAlignment="1">
      <alignment horizontal="center" vertical="center" wrapText="1"/>
    </xf>
    <xf numFmtId="174" fontId="9" fillId="0" borderId="34" xfId="39" applyNumberFormat="1" applyFont="1" applyFill="1" applyBorder="1" applyAlignment="1">
      <alignment horizontal="center"/>
    </xf>
    <xf numFmtId="174" fontId="86" fillId="0" borderId="34" xfId="39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4" fontId="92" fillId="0" borderId="0" xfId="39" applyNumberFormat="1" applyFont="1" applyFill="1" applyAlignment="1">
      <alignment/>
    </xf>
    <xf numFmtId="174" fontId="92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83" fontId="17" fillId="0" borderId="12" xfId="0" applyNumberFormat="1" applyFont="1" applyBorder="1" applyAlignment="1">
      <alignment horizontal="center"/>
    </xf>
    <xf numFmtId="183" fontId="17" fillId="0" borderId="41" xfId="39" applyNumberFormat="1" applyFont="1" applyBorder="1" applyAlignment="1">
      <alignment/>
    </xf>
    <xf numFmtId="183" fontId="18" fillId="0" borderId="27" xfId="39" applyNumberFormat="1" applyFont="1" applyFill="1" applyBorder="1" applyAlignment="1">
      <alignment/>
    </xf>
    <xf numFmtId="183" fontId="17" fillId="0" borderId="27" xfId="39" applyNumberFormat="1" applyFont="1" applyBorder="1" applyAlignment="1">
      <alignment/>
    </xf>
    <xf numFmtId="3" fontId="93" fillId="0" borderId="12" xfId="0" applyNumberFormat="1" applyFont="1" applyBorder="1" applyAlignment="1">
      <alignment vertical="center" wrapText="1"/>
    </xf>
    <xf numFmtId="0" fontId="17" fillId="0" borderId="22" xfId="0" applyFont="1" applyBorder="1" applyAlignment="1">
      <alignment/>
    </xf>
    <xf numFmtId="0" fontId="28" fillId="0" borderId="22" xfId="0" applyFont="1" applyBorder="1" applyAlignment="1">
      <alignment/>
    </xf>
    <xf numFmtId="183" fontId="18" fillId="0" borderId="42" xfId="39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183" fontId="17" fillId="0" borderId="12" xfId="39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74" fontId="18" fillId="0" borderId="12" xfId="39" applyNumberFormat="1" applyFont="1" applyBorder="1" applyAlignment="1">
      <alignment/>
    </xf>
    <xf numFmtId="183" fontId="18" fillId="0" borderId="12" xfId="39" applyNumberFormat="1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174" fontId="8" fillId="0" borderId="24" xfId="39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74" fontId="8" fillId="0" borderId="26" xfId="39" applyNumberFormat="1" applyFont="1" applyFill="1" applyBorder="1" applyAlignment="1">
      <alignment vertical="center" wrapText="1"/>
    </xf>
    <xf numFmtId="174" fontId="94" fillId="0" borderId="26" xfId="39" applyNumberFormat="1" applyFont="1" applyFill="1" applyBorder="1" applyAlignment="1">
      <alignment vertical="center" wrapText="1"/>
    </xf>
    <xf numFmtId="173" fontId="8" fillId="0" borderId="26" xfId="39" applyNumberFormat="1" applyFont="1" applyFill="1" applyBorder="1" applyAlignment="1">
      <alignment vertical="center" wrapText="1"/>
    </xf>
    <xf numFmtId="174" fontId="8" fillId="0" borderId="26" xfId="39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174" fontId="8" fillId="0" borderId="28" xfId="39" applyNumberFormat="1" applyFont="1" applyFill="1" applyBorder="1" applyAlignment="1">
      <alignment vertical="center" wrapText="1"/>
    </xf>
    <xf numFmtId="173" fontId="8" fillId="0" borderId="28" xfId="39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8" fillId="0" borderId="36" xfId="38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172" fontId="19" fillId="0" borderId="26" xfId="59" applyNumberFormat="1" applyFont="1" applyFill="1" applyBorder="1" applyAlignment="1">
      <alignment vertical="center" wrapText="1"/>
      <protection/>
    </xf>
    <xf numFmtId="174" fontId="19" fillId="0" borderId="26" xfId="39" applyNumberFormat="1" applyFont="1" applyFill="1" applyBorder="1" applyAlignment="1">
      <alignment vertical="center" wrapText="1"/>
    </xf>
    <xf numFmtId="174" fontId="19" fillId="0" borderId="28" xfId="39" applyNumberFormat="1" applyFont="1" applyFill="1" applyBorder="1" applyAlignment="1">
      <alignment horizontal="center" vertical="center" wrapText="1"/>
    </xf>
    <xf numFmtId="173" fontId="19" fillId="0" borderId="26" xfId="39" applyNumberFormat="1" applyFont="1" applyFill="1" applyBorder="1" applyAlignment="1">
      <alignment vertical="center" wrapText="1"/>
    </xf>
    <xf numFmtId="0" fontId="19" fillId="0" borderId="26" xfId="59" applyFont="1" applyFill="1" applyBorder="1" applyAlignment="1">
      <alignment vertical="center" wrapText="1"/>
      <protection/>
    </xf>
    <xf numFmtId="0" fontId="19" fillId="0" borderId="26" xfId="59" applyNumberFormat="1" applyFont="1" applyFill="1" applyBorder="1" applyAlignment="1">
      <alignment vertical="center" wrapText="1"/>
      <protection/>
    </xf>
    <xf numFmtId="0" fontId="19" fillId="0" borderId="26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9" fillId="0" borderId="30" xfId="54" applyFont="1" applyFill="1" applyBorder="1" applyAlignment="1">
      <alignment horizontal="left" vertical="center" wrapText="1"/>
      <protection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174" fontId="8" fillId="0" borderId="31" xfId="39" applyNumberFormat="1" applyFont="1" applyFill="1" applyBorder="1" applyAlignment="1">
      <alignment vertical="center" wrapText="1"/>
    </xf>
    <xf numFmtId="174" fontId="19" fillId="0" borderId="31" xfId="39" applyNumberFormat="1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9" fillId="0" borderId="43" xfId="54" applyFont="1" applyFill="1" applyBorder="1" applyAlignment="1">
      <alignment horizontal="left" vertical="center" wrapText="1"/>
      <protection/>
    </xf>
    <xf numFmtId="174" fontId="8" fillId="0" borderId="43" xfId="39" applyNumberFormat="1" applyFont="1" applyFill="1" applyBorder="1" applyAlignment="1">
      <alignment vertical="center" wrapText="1"/>
    </xf>
    <xf numFmtId="174" fontId="19" fillId="0" borderId="43" xfId="39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9" fillId="0" borderId="27" xfId="54" applyFont="1" applyFill="1" applyBorder="1" applyAlignment="1">
      <alignment horizontal="left" vertical="center" wrapText="1"/>
      <protection/>
    </xf>
    <xf numFmtId="174" fontId="8" fillId="0" borderId="27" xfId="39" applyNumberFormat="1" applyFont="1" applyFill="1" applyBorder="1" applyAlignment="1">
      <alignment vertical="center" wrapText="1"/>
    </xf>
    <xf numFmtId="174" fontId="19" fillId="0" borderId="27" xfId="39" applyNumberFormat="1" applyFont="1" applyFill="1" applyBorder="1" applyAlignment="1">
      <alignment vertical="center" wrapText="1"/>
    </xf>
    <xf numFmtId="173" fontId="19" fillId="0" borderId="27" xfId="39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justify" vertical="center" wrapText="1"/>
    </xf>
    <xf numFmtId="173" fontId="19" fillId="0" borderId="27" xfId="39" applyNumberFormat="1" applyFont="1" applyFill="1" applyBorder="1" applyAlignment="1">
      <alignment vertical="center" wrapText="1"/>
    </xf>
    <xf numFmtId="4" fontId="19" fillId="0" borderId="27" xfId="0" applyNumberFormat="1" applyFont="1" applyFill="1" applyBorder="1" applyAlignment="1">
      <alignment vertical="center" wrapText="1"/>
    </xf>
    <xf numFmtId="174" fontId="19" fillId="0" borderId="27" xfId="39" applyNumberFormat="1" applyFont="1" applyFill="1" applyBorder="1" applyAlignment="1">
      <alignment horizontal="left" vertical="center" wrapText="1"/>
    </xf>
    <xf numFmtId="183" fontId="95" fillId="0" borderId="27" xfId="39" applyNumberFormat="1" applyFont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vertical="center" wrapText="1"/>
    </xf>
    <xf numFmtId="174" fontId="8" fillId="0" borderId="27" xfId="39" applyNumberFormat="1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left" vertical="center" wrapText="1"/>
    </xf>
    <xf numFmtId="174" fontId="19" fillId="0" borderId="27" xfId="39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174" fontId="19" fillId="33" borderId="26" xfId="39" applyNumberFormat="1" applyFont="1" applyFill="1" applyBorder="1" applyAlignment="1">
      <alignment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7" xfId="59" applyNumberFormat="1" applyFont="1" applyFill="1" applyBorder="1" applyAlignment="1">
      <alignment horizontal="center" vertical="center" wrapText="1"/>
      <protection/>
    </xf>
    <xf numFmtId="174" fontId="8" fillId="33" borderId="27" xfId="39" applyNumberFormat="1" applyFont="1" applyFill="1" applyBorder="1" applyAlignment="1">
      <alignment horizontal="center" vertical="center" wrapText="1"/>
    </xf>
    <xf numFmtId="174" fontId="19" fillId="33" borderId="27" xfId="39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right" vertical="center" wrapText="1"/>
    </xf>
    <xf numFmtId="0" fontId="19" fillId="0" borderId="12" xfId="33" applyFont="1" applyBorder="1" applyAlignment="1">
      <alignment horizontal="center" vertical="center" wrapText="1"/>
      <protection/>
    </xf>
    <xf numFmtId="174" fontId="19" fillId="0" borderId="12" xfId="39" applyNumberFormat="1" applyFont="1" applyBorder="1" applyAlignment="1">
      <alignment horizontal="center" vertical="center" wrapText="1"/>
    </xf>
    <xf numFmtId="173" fontId="19" fillId="0" borderId="40" xfId="39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3" fontId="19" fillId="0" borderId="12" xfId="39" applyNumberFormat="1" applyFont="1" applyFill="1" applyBorder="1" applyAlignment="1">
      <alignment horizontal="center" vertical="center" wrapText="1"/>
    </xf>
    <xf numFmtId="174" fontId="19" fillId="0" borderId="0" xfId="39" applyNumberFormat="1" applyFont="1" applyFill="1" applyBorder="1" applyAlignment="1">
      <alignment horizontal="center" vertical="center" wrapText="1"/>
    </xf>
    <xf numFmtId="174" fontId="19" fillId="0" borderId="23" xfId="39" applyNumberFormat="1" applyFont="1" applyFill="1" applyBorder="1" applyAlignment="1">
      <alignment horizontal="center" vertical="center" wrapText="1"/>
    </xf>
    <xf numFmtId="187" fontId="19" fillId="0" borderId="0" xfId="59" applyNumberFormat="1" applyFont="1" applyFill="1" applyBorder="1" applyAlignment="1">
      <alignment horizontal="center" vertical="center" wrapText="1"/>
      <protection/>
    </xf>
    <xf numFmtId="174" fontId="19" fillId="0" borderId="0" xfId="63" applyNumberFormat="1" applyFont="1" applyFill="1" applyBorder="1" applyAlignment="1">
      <alignment vertical="center" wrapText="1"/>
    </xf>
    <xf numFmtId="10" fontId="19" fillId="0" borderId="0" xfId="63" applyNumberFormat="1" applyFont="1" applyFill="1" applyBorder="1" applyAlignment="1">
      <alignment vertical="center" wrapText="1"/>
    </xf>
    <xf numFmtId="10" fontId="19" fillId="0" borderId="0" xfId="63" applyNumberFormat="1" applyFont="1" applyFill="1" applyBorder="1" applyAlignment="1">
      <alignment vertical="center"/>
    </xf>
    <xf numFmtId="174" fontId="19" fillId="0" borderId="0" xfId="39" applyNumberFormat="1" applyFont="1" applyFill="1" applyBorder="1" applyAlignment="1">
      <alignment vertical="center" wrapText="1"/>
    </xf>
    <xf numFmtId="187" fontId="19" fillId="0" borderId="43" xfId="59" applyNumberFormat="1" applyFont="1" applyFill="1" applyBorder="1" applyAlignment="1">
      <alignment horizontal="center" vertical="center" wrapText="1"/>
      <protection/>
    </xf>
    <xf numFmtId="187" fontId="19" fillId="0" borderId="27" xfId="59" applyNumberFormat="1" applyFont="1" applyFill="1" applyBorder="1" applyAlignment="1">
      <alignment horizontal="center" vertical="center" wrapText="1"/>
      <protection/>
    </xf>
    <xf numFmtId="10" fontId="19" fillId="0" borderId="27" xfId="63" applyNumberFormat="1" applyFont="1" applyFill="1" applyBorder="1" applyAlignment="1">
      <alignment vertical="center" wrapText="1"/>
    </xf>
    <xf numFmtId="2" fontId="19" fillId="0" borderId="38" xfId="0" applyNumberFormat="1" applyFont="1" applyFill="1" applyBorder="1" applyAlignment="1">
      <alignment horizontal="justify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187" fontId="8" fillId="0" borderId="27" xfId="59" applyNumberFormat="1" applyFont="1" applyFill="1" applyBorder="1" applyAlignment="1">
      <alignment horizontal="center" vertical="center" wrapText="1"/>
      <protection/>
    </xf>
    <xf numFmtId="3" fontId="19" fillId="34" borderId="36" xfId="0" applyNumberFormat="1" applyFont="1" applyFill="1" applyBorder="1" applyAlignment="1">
      <alignment horizontal="center" vertical="center"/>
    </xf>
    <xf numFmtId="2" fontId="19" fillId="0" borderId="38" xfId="0" applyNumberFormat="1" applyFont="1" applyFill="1" applyBorder="1" applyAlignment="1">
      <alignment vertical="center" wrapText="1"/>
    </xf>
    <xf numFmtId="3" fontId="19" fillId="0" borderId="42" xfId="0" applyNumberFormat="1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vertical="center" wrapText="1"/>
    </xf>
    <xf numFmtId="181" fontId="19" fillId="0" borderId="27" xfId="39" applyNumberFormat="1" applyFont="1" applyFill="1" applyBorder="1" applyAlignment="1">
      <alignment vertical="center"/>
    </xf>
    <xf numFmtId="3" fontId="19" fillId="0" borderId="42" xfId="0" applyNumberFormat="1" applyFont="1" applyFill="1" applyBorder="1" applyAlignment="1">
      <alignment horizontal="left" vertical="center" wrapText="1"/>
    </xf>
    <xf numFmtId="174" fontId="19" fillId="0" borderId="42" xfId="39" applyNumberFormat="1" applyFont="1" applyFill="1" applyBorder="1" applyAlignment="1">
      <alignment horizontal="center" vertical="center" wrapText="1"/>
    </xf>
    <xf numFmtId="173" fontId="19" fillId="0" borderId="42" xfId="39" applyNumberFormat="1" applyFont="1" applyFill="1" applyBorder="1" applyAlignment="1">
      <alignment horizontal="center" vertical="center" wrapText="1"/>
    </xf>
    <xf numFmtId="174" fontId="8" fillId="0" borderId="24" xfId="39" applyNumberFormat="1" applyFont="1" applyFill="1" applyBorder="1" applyAlignment="1">
      <alignment horizontal="center" vertical="center" wrapText="1"/>
    </xf>
    <xf numFmtId="174" fontId="8" fillId="33" borderId="24" xfId="39" applyNumberFormat="1" applyFont="1" applyFill="1" applyBorder="1" applyAlignment="1">
      <alignment horizontal="center" vertical="center" wrapText="1"/>
    </xf>
    <xf numFmtId="174" fontId="8" fillId="0" borderId="26" xfId="39" applyNumberFormat="1" applyFont="1" applyFill="1" applyBorder="1" applyAlignment="1">
      <alignment horizontal="center" vertical="center" wrapText="1"/>
    </xf>
    <xf numFmtId="174" fontId="8" fillId="33" borderId="26" xfId="39" applyNumberFormat="1" applyFont="1" applyFill="1" applyBorder="1" applyAlignment="1">
      <alignment horizontal="center" vertical="center" wrapText="1"/>
    </xf>
    <xf numFmtId="174" fontId="8" fillId="0" borderId="28" xfId="39" applyNumberFormat="1" applyFont="1" applyFill="1" applyBorder="1" applyAlignment="1">
      <alignment horizontal="center" vertical="center" wrapText="1"/>
    </xf>
    <xf numFmtId="174" fontId="8" fillId="33" borderId="28" xfId="39" applyNumberFormat="1" applyFont="1" applyFill="1" applyBorder="1" applyAlignment="1">
      <alignment horizontal="center" vertical="center" wrapText="1"/>
    </xf>
    <xf numFmtId="3" fontId="8" fillId="0" borderId="36" xfId="38" applyNumberFormat="1" applyFont="1" applyFill="1" applyBorder="1" applyAlignment="1">
      <alignment horizontal="center" vertical="center" wrapText="1"/>
    </xf>
    <xf numFmtId="3" fontId="8" fillId="33" borderId="36" xfId="38" applyNumberFormat="1" applyFont="1" applyFill="1" applyBorder="1" applyAlignment="1">
      <alignment horizontal="center" vertical="center" wrapText="1"/>
    </xf>
    <xf numFmtId="174" fontId="19" fillId="0" borderId="26" xfId="39" applyNumberFormat="1" applyFont="1" applyFill="1" applyBorder="1" applyAlignment="1">
      <alignment horizontal="center" vertical="center" wrapText="1"/>
    </xf>
    <xf numFmtId="174" fontId="19" fillId="33" borderId="26" xfId="39" applyNumberFormat="1" applyFont="1" applyFill="1" applyBorder="1" applyAlignment="1">
      <alignment horizontal="center" vertical="center" wrapText="1"/>
    </xf>
    <xf numFmtId="174" fontId="19" fillId="0" borderId="31" xfId="39" applyNumberFormat="1" applyFont="1" applyFill="1" applyBorder="1" applyAlignment="1">
      <alignment horizontal="center" vertical="center" wrapText="1"/>
    </xf>
    <xf numFmtId="174" fontId="19" fillId="33" borderId="31" xfId="39" applyNumberFormat="1" applyFont="1" applyFill="1" applyBorder="1" applyAlignment="1">
      <alignment horizontal="center" vertical="center" wrapText="1"/>
    </xf>
    <xf numFmtId="174" fontId="19" fillId="0" borderId="43" xfId="39" applyNumberFormat="1" applyFont="1" applyFill="1" applyBorder="1" applyAlignment="1">
      <alignment horizontal="center" vertical="center" wrapText="1"/>
    </xf>
    <xf numFmtId="174" fontId="19" fillId="33" borderId="43" xfId="39" applyNumberFormat="1" applyFont="1" applyFill="1" applyBorder="1" applyAlignment="1">
      <alignment horizontal="center" vertical="center" wrapText="1"/>
    </xf>
    <xf numFmtId="173" fontId="8" fillId="0" borderId="25" xfId="39" applyNumberFormat="1" applyFont="1" applyFill="1" applyBorder="1" applyAlignment="1">
      <alignment vertical="center" wrapText="1"/>
    </xf>
    <xf numFmtId="173" fontId="19" fillId="0" borderId="25" xfId="39" applyNumberFormat="1" applyFont="1" applyFill="1" applyBorder="1" applyAlignment="1">
      <alignment vertical="center" wrapText="1"/>
    </xf>
    <xf numFmtId="173" fontId="19" fillId="0" borderId="44" xfId="39" applyNumberFormat="1" applyFont="1" applyFill="1" applyBorder="1" applyAlignment="1">
      <alignment vertical="center" wrapText="1"/>
    </xf>
    <xf numFmtId="173" fontId="19" fillId="0" borderId="43" xfId="39" applyNumberFormat="1" applyFont="1" applyFill="1" applyBorder="1" applyAlignment="1">
      <alignment vertical="center" wrapText="1"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39" applyNumberFormat="1" applyFont="1" applyBorder="1" applyAlignment="1">
      <alignment horizontal="center" vertical="center" wrapText="1"/>
    </xf>
    <xf numFmtId="0" fontId="8" fillId="0" borderId="12" xfId="33" applyFont="1" applyBorder="1" applyAlignment="1">
      <alignment vertical="center" wrapText="1"/>
      <protection/>
    </xf>
    <xf numFmtId="174" fontId="8" fillId="0" borderId="12" xfId="39" applyNumberFormat="1" applyFont="1" applyFill="1" applyBorder="1" applyAlignment="1">
      <alignment horizontal="center" vertical="center" wrapText="1"/>
    </xf>
    <xf numFmtId="174" fontId="8" fillId="0" borderId="12" xfId="39" applyNumberFormat="1" applyFont="1" applyBorder="1" applyAlignment="1">
      <alignment vertical="center" wrapText="1"/>
    </xf>
    <xf numFmtId="0" fontId="19" fillId="0" borderId="12" xfId="33" applyFont="1" applyBorder="1" applyAlignment="1">
      <alignment vertical="center" wrapText="1"/>
      <protection/>
    </xf>
    <xf numFmtId="174" fontId="19" fillId="0" borderId="12" xfId="39" applyNumberFormat="1" applyFont="1" applyFill="1" applyBorder="1" applyAlignment="1">
      <alignment horizontal="center" vertical="center" wrapText="1"/>
    </xf>
    <xf numFmtId="174" fontId="96" fillId="0" borderId="12" xfId="39" applyNumberFormat="1" applyFont="1" applyFill="1" applyBorder="1" applyAlignment="1">
      <alignment horizontal="center" vertical="center" wrapText="1"/>
    </xf>
    <xf numFmtId="174" fontId="19" fillId="0" borderId="12" xfId="39" applyNumberFormat="1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174" fontId="30" fillId="0" borderId="12" xfId="39" applyNumberFormat="1" applyFont="1" applyFill="1" applyBorder="1" applyAlignment="1">
      <alignment horizontal="center" vertical="center" wrapText="1"/>
    </xf>
    <xf numFmtId="174" fontId="21" fillId="0" borderId="12" xfId="39" applyNumberFormat="1" applyFont="1" applyFill="1" applyBorder="1" applyAlignment="1">
      <alignment horizontal="center" vertical="center" wrapText="1"/>
    </xf>
    <xf numFmtId="174" fontId="5" fillId="0" borderId="12" xfId="39" applyNumberFormat="1" applyFont="1" applyFill="1" applyBorder="1" applyAlignment="1">
      <alignment vertical="center" wrapText="1"/>
    </xf>
    <xf numFmtId="174" fontId="5" fillId="0" borderId="12" xfId="39" applyNumberFormat="1" applyFont="1" applyFill="1" applyBorder="1" applyAlignment="1">
      <alignment horizontal="center" vertical="center" wrapText="1"/>
    </xf>
    <xf numFmtId="174" fontId="22" fillId="0" borderId="12" xfId="39" applyNumberFormat="1" applyFont="1" applyFill="1" applyBorder="1" applyAlignment="1">
      <alignment horizontal="center" vertical="center" wrapText="1"/>
    </xf>
    <xf numFmtId="174" fontId="21" fillId="0" borderId="12" xfId="39" applyNumberFormat="1" applyFont="1" applyFill="1" applyBorder="1" applyAlignment="1">
      <alignment horizontal="center" vertical="center" wrapText="1"/>
    </xf>
    <xf numFmtId="174" fontId="5" fillId="0" borderId="12" xfId="39" applyNumberFormat="1" applyFont="1" applyFill="1" applyBorder="1" applyAlignment="1">
      <alignment horizontal="center" vertical="center" wrapText="1"/>
    </xf>
    <xf numFmtId="174" fontId="94" fillId="0" borderId="12" xfId="39" applyNumberFormat="1" applyFont="1" applyFill="1" applyBorder="1" applyAlignment="1">
      <alignment horizontal="center" vertical="center" wrapText="1"/>
    </xf>
    <xf numFmtId="3" fontId="97" fillId="0" borderId="12" xfId="0" applyNumberFormat="1" applyFont="1" applyBorder="1" applyAlignment="1">
      <alignment vertical="center" wrapText="1"/>
    </xf>
    <xf numFmtId="174" fontId="22" fillId="0" borderId="12" xfId="39" applyNumberFormat="1" applyFont="1" applyFill="1" applyBorder="1" applyAlignment="1">
      <alignment horizontal="center" vertical="center" wrapText="1"/>
    </xf>
    <xf numFmtId="0" fontId="20" fillId="0" borderId="0" xfId="33" applyFont="1">
      <alignment/>
      <protection/>
    </xf>
    <xf numFmtId="0" fontId="20" fillId="0" borderId="0" xfId="0" applyFont="1" applyAlignment="1">
      <alignment/>
    </xf>
    <xf numFmtId="0" fontId="9" fillId="0" borderId="0" xfId="33" applyFont="1">
      <alignment/>
      <protection/>
    </xf>
    <xf numFmtId="174" fontId="9" fillId="0" borderId="0" xfId="39" applyNumberFormat="1" applyFont="1" applyAlignment="1">
      <alignment/>
    </xf>
    <xf numFmtId="173" fontId="11" fillId="0" borderId="0" xfId="39" applyNumberFormat="1" applyFont="1" applyAlignment="1">
      <alignment/>
    </xf>
    <xf numFmtId="3" fontId="98" fillId="0" borderId="12" xfId="0" applyNumberFormat="1" applyFont="1" applyBorder="1" applyAlignment="1">
      <alignment vertical="center" wrapText="1"/>
    </xf>
    <xf numFmtId="174" fontId="19" fillId="0" borderId="0" xfId="39" applyNumberFormat="1" applyFont="1" applyAlignment="1">
      <alignment/>
    </xf>
    <xf numFmtId="173" fontId="19" fillId="0" borderId="0" xfId="39" applyNumberFormat="1" applyFont="1" applyAlignment="1">
      <alignment/>
    </xf>
    <xf numFmtId="174" fontId="94" fillId="0" borderId="26" xfId="39" applyNumberFormat="1" applyFont="1" applyFill="1" applyBorder="1" applyAlignment="1">
      <alignment horizontal="center" vertical="center" wrapText="1"/>
    </xf>
    <xf numFmtId="174" fontId="96" fillId="0" borderId="26" xfId="39" applyNumberFormat="1" applyFont="1" applyFill="1" applyBorder="1" applyAlignment="1">
      <alignment horizontal="center" vertical="center" wrapText="1"/>
    </xf>
    <xf numFmtId="174" fontId="96" fillId="33" borderId="27" xfId="39" applyNumberFormat="1" applyFont="1" applyFill="1" applyBorder="1" applyAlignment="1">
      <alignment horizontal="center" vertical="center" wrapText="1"/>
    </xf>
    <xf numFmtId="174" fontId="94" fillId="33" borderId="27" xfId="39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3" fontId="99" fillId="0" borderId="12" xfId="0" applyNumberFormat="1" applyFont="1" applyBorder="1" applyAlignment="1">
      <alignment vertical="center" wrapText="1"/>
    </xf>
    <xf numFmtId="183" fontId="21" fillId="0" borderId="12" xfId="39" applyNumberFormat="1" applyFont="1" applyFill="1" applyBorder="1" applyAlignment="1">
      <alignment horizontal="center" vertical="center" wrapText="1"/>
    </xf>
    <xf numFmtId="183" fontId="5" fillId="0" borderId="12" xfId="39" applyNumberFormat="1" applyFont="1" applyFill="1" applyBorder="1" applyAlignment="1">
      <alignment horizontal="center" vertical="center" wrapText="1"/>
    </xf>
    <xf numFmtId="174" fontId="0" fillId="0" borderId="0" xfId="39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174" fontId="23" fillId="0" borderId="0" xfId="39" applyNumberFormat="1" applyFont="1" applyFill="1" applyAlignment="1">
      <alignment vertical="center"/>
    </xf>
    <xf numFmtId="3" fontId="99" fillId="0" borderId="12" xfId="0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74" fontId="19" fillId="0" borderId="0" xfId="39" applyNumberFormat="1" applyFont="1" applyFill="1" applyAlignment="1">
      <alignment vertical="center"/>
    </xf>
    <xf numFmtId="174" fontId="8" fillId="0" borderId="0" xfId="39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173" fontId="19" fillId="0" borderId="0" xfId="39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74" fontId="96" fillId="0" borderId="27" xfId="39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74" fontId="19" fillId="0" borderId="27" xfId="39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vertical="center"/>
    </xf>
    <xf numFmtId="174" fontId="19" fillId="0" borderId="42" xfId="39" applyNumberFormat="1" applyFont="1" applyFill="1" applyBorder="1" applyAlignment="1">
      <alignment horizontal="center" vertical="center"/>
    </xf>
    <xf numFmtId="0" fontId="96" fillId="0" borderId="42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3" fontId="10" fillId="0" borderId="0" xfId="39" applyNumberFormat="1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43" fontId="9" fillId="0" borderId="0" xfId="39" applyNumberFormat="1" applyFont="1" applyFill="1" applyAlignment="1">
      <alignment vertical="center"/>
    </xf>
    <xf numFmtId="174" fontId="20" fillId="0" borderId="0" xfId="39" applyNumberFormat="1" applyFont="1" applyFill="1" applyBorder="1" applyAlignment="1">
      <alignment vertical="center"/>
    </xf>
    <xf numFmtId="174" fontId="20" fillId="0" borderId="0" xfId="39" applyNumberFormat="1" applyFont="1" applyFill="1" applyAlignment="1">
      <alignment vertical="center"/>
    </xf>
    <xf numFmtId="174" fontId="5" fillId="0" borderId="0" xfId="39" applyNumberFormat="1" applyFont="1" applyFill="1" applyAlignment="1">
      <alignment vertical="center"/>
    </xf>
    <xf numFmtId="0" fontId="85" fillId="0" borderId="0" xfId="0" applyFont="1" applyFill="1" applyAlignment="1">
      <alignment vertical="center"/>
    </xf>
    <xf numFmtId="174" fontId="96" fillId="0" borderId="0" xfId="39" applyNumberFormat="1" applyFont="1" applyFill="1" applyAlignment="1">
      <alignment vertical="center"/>
    </xf>
    <xf numFmtId="174" fontId="16" fillId="0" borderId="0" xfId="39" applyNumberFormat="1" applyFont="1" applyBorder="1" applyAlignment="1">
      <alignment horizontal="center" vertical="center" wrapText="1"/>
    </xf>
    <xf numFmtId="174" fontId="15" fillId="0" borderId="0" xfId="39" applyNumberFormat="1" applyFont="1" applyAlignment="1">
      <alignment horizontal="center" vertical="center" wrapText="1"/>
    </xf>
    <xf numFmtId="174" fontId="16" fillId="0" borderId="0" xfId="39" applyNumberFormat="1" applyFont="1" applyAlignment="1">
      <alignment horizontal="center" vertical="center" wrapText="1"/>
    </xf>
    <xf numFmtId="174" fontId="15" fillId="0" borderId="0" xfId="39" applyNumberFormat="1" applyFont="1" applyAlignment="1">
      <alignment horizontal="center"/>
    </xf>
    <xf numFmtId="173" fontId="8" fillId="0" borderId="40" xfId="39" applyNumberFormat="1" applyFont="1" applyBorder="1" applyAlignment="1">
      <alignment horizontal="center" vertical="center" wrapText="1"/>
    </xf>
    <xf numFmtId="173" fontId="8" fillId="0" borderId="45" xfId="39" applyNumberFormat="1" applyFont="1" applyBorder="1" applyAlignment="1">
      <alignment horizontal="center" vertical="center" wrapText="1"/>
    </xf>
    <xf numFmtId="173" fontId="15" fillId="0" borderId="0" xfId="39" applyNumberFormat="1" applyFont="1" applyAlignment="1">
      <alignment horizontal="center"/>
    </xf>
    <xf numFmtId="0" fontId="15" fillId="0" borderId="0" xfId="33" applyFont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39" applyNumberFormat="1" applyFont="1" applyBorder="1" applyAlignment="1">
      <alignment horizontal="center" vertical="center" wrapText="1"/>
    </xf>
    <xf numFmtId="173" fontId="15" fillId="0" borderId="0" xfId="39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174" fontId="21" fillId="0" borderId="40" xfId="39" applyNumberFormat="1" applyFont="1" applyFill="1" applyBorder="1" applyAlignment="1">
      <alignment horizontal="center" vertical="center" wrapText="1"/>
    </xf>
    <xf numFmtId="174" fontId="21" fillId="0" borderId="45" xfId="3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94" fillId="32" borderId="48" xfId="0" applyFont="1" applyFill="1" applyBorder="1" applyAlignment="1">
      <alignment horizontal="center" vertical="center" wrapText="1"/>
    </xf>
    <xf numFmtId="0" fontId="94" fillId="32" borderId="49" xfId="0" applyFont="1" applyFill="1" applyBorder="1" applyAlignment="1">
      <alignment horizontal="center" vertical="center" wrapText="1"/>
    </xf>
    <xf numFmtId="0" fontId="94" fillId="32" borderId="23" xfId="0" applyFont="1" applyFill="1" applyBorder="1" applyAlignment="1">
      <alignment horizontal="center" vertical="center" wrapText="1"/>
    </xf>
    <xf numFmtId="0" fontId="94" fillId="32" borderId="50" xfId="0" applyFont="1" applyFill="1" applyBorder="1" applyAlignment="1">
      <alignment horizontal="center" vertical="center" wrapText="1"/>
    </xf>
    <xf numFmtId="0" fontId="94" fillId="32" borderId="51" xfId="0" applyFont="1" applyFill="1" applyBorder="1" applyAlignment="1">
      <alignment horizontal="center" vertical="center" wrapText="1"/>
    </xf>
    <xf numFmtId="0" fontId="94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3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48" xfId="58" applyFont="1" applyFill="1" applyBorder="1" applyAlignment="1">
      <alignment horizontal="center" vertical="center" wrapText="1"/>
      <protection/>
    </xf>
    <xf numFmtId="0" fontId="8" fillId="0" borderId="53" xfId="58" applyFont="1" applyFill="1" applyBorder="1" applyAlignment="1">
      <alignment horizontal="center" vertical="center" wrapText="1"/>
      <protection/>
    </xf>
    <xf numFmtId="0" fontId="8" fillId="0" borderId="49" xfId="58" applyFont="1" applyFill="1" applyBorder="1" applyAlignment="1">
      <alignment horizontal="center" vertical="center" wrapText="1"/>
      <protection/>
    </xf>
    <xf numFmtId="0" fontId="8" fillId="0" borderId="23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50" xfId="58" applyFont="1" applyFill="1" applyBorder="1" applyAlignment="1">
      <alignment horizontal="center" vertical="center" wrapText="1"/>
      <protection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2" fontId="15" fillId="32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73" fontId="8" fillId="0" borderId="40" xfId="39" applyNumberFormat="1" applyFont="1" applyFill="1" applyBorder="1" applyAlignment="1">
      <alignment horizontal="center" vertical="center" wrapText="1"/>
    </xf>
    <xf numFmtId="173" fontId="8" fillId="0" borderId="41" xfId="39" applyNumberFormat="1" applyFont="1" applyFill="1" applyBorder="1" applyAlignment="1">
      <alignment horizontal="center" vertical="center" wrapText="1"/>
    </xf>
    <xf numFmtId="173" fontId="8" fillId="0" borderId="45" xfId="39" applyNumberFormat="1" applyFont="1" applyFill="1" applyBorder="1" applyAlignment="1">
      <alignment horizontal="center" vertical="center" wrapText="1"/>
    </xf>
    <xf numFmtId="0" fontId="8" fillId="0" borderId="40" xfId="58" applyFont="1" applyFill="1" applyBorder="1" applyAlignment="1">
      <alignment horizontal="center" vertical="center" wrapText="1"/>
      <protection/>
    </xf>
    <xf numFmtId="0" fontId="8" fillId="0" borderId="45" xfId="5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0" xfId="58" applyFont="1" applyBorder="1" applyAlignment="1">
      <alignment horizontal="center" vertical="center" wrapText="1"/>
      <protection/>
    </xf>
    <xf numFmtId="0" fontId="8" fillId="0" borderId="45" xfId="58" applyFont="1" applyBorder="1" applyAlignment="1">
      <alignment horizontal="center" vertical="center" wrapText="1"/>
      <protection/>
    </xf>
    <xf numFmtId="0" fontId="8" fillId="32" borderId="53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3" xfId="33"/>
    <cellStyle name="Comma [0] 2" xfId="34"/>
    <cellStyle name="Comma 12" xfId="35"/>
    <cellStyle name="Comma 2" xfId="36"/>
    <cellStyle name="Comma 3" xfId="37"/>
    <cellStyle name="Comma [0]" xfId="38"/>
    <cellStyle name="Comma" xfId="39"/>
    <cellStyle name="Đầu đề 1" xfId="40"/>
    <cellStyle name="Đầu đề 2" xfId="41"/>
    <cellStyle name="Đầu đề 3" xfId="42"/>
    <cellStyle name="Đầu đề 4" xfId="43"/>
    <cellStyle name="Đầu ra" xfId="44"/>
    <cellStyle name="Đầu vào" xfId="45"/>
    <cellStyle name="Ghi chú" xfId="46"/>
    <cellStyle name="Header1" xfId="47"/>
    <cellStyle name="Header2" xfId="48"/>
    <cellStyle name="Kiểm tra Ô" xfId="49"/>
    <cellStyle name="Normal 11" xfId="50"/>
    <cellStyle name="Normal 12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rmal 6" xfId="58"/>
    <cellStyle name="Normal_Sheet1" xfId="59"/>
    <cellStyle name="Ô được Nối kết" xfId="60"/>
    <cellStyle name="Percent 2" xfId="61"/>
    <cellStyle name="Percent 2 2" xfId="62"/>
    <cellStyle name="Percent 3" xfId="63"/>
    <cellStyle name="Percent" xfId="64"/>
    <cellStyle name="Sắc màu1" xfId="65"/>
    <cellStyle name="Sắc màu2" xfId="66"/>
    <cellStyle name="Sắc màu3" xfId="67"/>
    <cellStyle name="Sắc màu4" xfId="68"/>
    <cellStyle name="Sắc màu5" xfId="69"/>
    <cellStyle name="Sắc màu6" xfId="70"/>
    <cellStyle name="Currency" xfId="71"/>
    <cellStyle name="Currency [0]" xfId="72"/>
    <cellStyle name="Tiêu đề" xfId="73"/>
    <cellStyle name="Tính toán" xfId="74"/>
    <cellStyle name="Tổng" xfId="75"/>
    <cellStyle name="Tốt" xfId="76"/>
    <cellStyle name="Trung lập" xfId="77"/>
    <cellStyle name="Văn bản Cảnh báo" xfId="78"/>
    <cellStyle name="Văn bản Giải thích" xfId="79"/>
    <cellStyle name="Xấu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1\bao%20cao\bc%20quy%20I\Bi&#7875;u%20b&#225;o%20c&#225;o%20quy%20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3\Ngan%20s&#225;ch%202023\11.%20cong%20khai\bieu%20cong%20khai%209%20thang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eu cap nhap sl gui xa"/>
      <sheetName val="bieu cap nhap sl"/>
      <sheetName val="Biểu số 03 (2)"/>
      <sheetName val="bieu 1"/>
      <sheetName val="Biểu số 02"/>
      <sheetName val="Biểu số 001"/>
    </sheetNames>
    <sheetDataSet>
      <sheetData sheetId="5">
        <row r="14">
          <cell r="R14">
            <v>246998925</v>
          </cell>
        </row>
        <row r="30">
          <cell r="R30">
            <v>2195989794</v>
          </cell>
        </row>
        <row r="46">
          <cell r="R46">
            <v>643897000</v>
          </cell>
        </row>
        <row r="48">
          <cell r="R48">
            <v>4784749592</v>
          </cell>
        </row>
        <row r="64">
          <cell r="R64">
            <v>966220941</v>
          </cell>
        </row>
        <row r="72">
          <cell r="R72">
            <v>498296400</v>
          </cell>
        </row>
        <row r="74">
          <cell r="R74">
            <v>0</v>
          </cell>
        </row>
        <row r="76">
          <cell r="R76">
            <v>0</v>
          </cell>
        </row>
        <row r="82">
          <cell r="F82">
            <v>1009000000</v>
          </cell>
          <cell r="R82">
            <v>9300000</v>
          </cell>
        </row>
        <row r="89">
          <cell r="R89">
            <v>0</v>
          </cell>
        </row>
        <row r="92">
          <cell r="R92">
            <v>0</v>
          </cell>
        </row>
        <row r="96">
          <cell r="R96">
            <v>7160000</v>
          </cell>
        </row>
        <row r="116">
          <cell r="R116">
            <v>100000000</v>
          </cell>
        </row>
        <row r="130">
          <cell r="F130">
            <v>1000000000</v>
          </cell>
        </row>
        <row r="131">
          <cell r="F131">
            <v>300000000</v>
          </cell>
        </row>
        <row r="132">
          <cell r="F132">
            <v>400000000</v>
          </cell>
        </row>
        <row r="133">
          <cell r="F133">
            <v>300000000</v>
          </cell>
        </row>
        <row r="134">
          <cell r="F134">
            <v>420000000</v>
          </cell>
        </row>
      </sheetData>
      <sheetData sheetId="6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eu 93"/>
      <sheetName val="Bieu 94"/>
      <sheetName val="Bieu 95"/>
      <sheetName val="Sheet2"/>
      <sheetName val="95"/>
      <sheetName val="bieu 095"/>
      <sheetName val="Sheet1"/>
      <sheetName val="Sheet3"/>
      <sheetName val="ty le"/>
      <sheetName val="Sheet4"/>
    </sheetNames>
    <sheetDataSet>
      <sheetData sheetId="9">
        <row r="8">
          <cell r="C8">
            <v>15738467150</v>
          </cell>
        </row>
        <row r="20">
          <cell r="C20">
            <v>1266227594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5.50390625" style="50" customWidth="1"/>
    <col min="2" max="2" width="31.25390625" style="50" customWidth="1"/>
    <col min="3" max="3" width="16.50390625" style="380" bestFit="1" customWidth="1"/>
    <col min="4" max="4" width="16.875" style="380" customWidth="1"/>
    <col min="5" max="5" width="11.125" style="381" customWidth="1"/>
    <col min="6" max="16384" width="9.00390625" style="50" customWidth="1"/>
  </cols>
  <sheetData>
    <row r="1" spans="1:5" s="375" customFormat="1" ht="21" customHeight="1">
      <c r="A1" s="45"/>
      <c r="B1" s="374"/>
      <c r="C1" s="52"/>
      <c r="D1" s="453" t="s">
        <v>104</v>
      </c>
      <c r="E1" s="453"/>
    </row>
    <row r="2" spans="1:5" s="375" customFormat="1" ht="24" customHeight="1">
      <c r="A2" s="454" t="s">
        <v>325</v>
      </c>
      <c r="B2" s="454"/>
      <c r="C2" s="454"/>
      <c r="D2" s="454"/>
      <c r="E2" s="454"/>
    </row>
    <row r="3" spans="1:5" s="375" customFormat="1" ht="45" customHeight="1">
      <c r="A3" s="455" t="str">
        <f>'Bieu 94'!A3:G3</f>
        <v>(Kèm theo Quyết định số:     QĐ-UBND ngày     tháng 10 năm 2023 của UBND huyện Ba Bể)</v>
      </c>
      <c r="B3" s="455"/>
      <c r="C3" s="455"/>
      <c r="D3" s="455"/>
      <c r="E3" s="455"/>
    </row>
    <row r="4" spans="1:5" ht="15">
      <c r="A4" s="376"/>
      <c r="B4" s="376"/>
      <c r="C4" s="377"/>
      <c r="D4" s="377"/>
      <c r="E4" s="378" t="s">
        <v>251</v>
      </c>
    </row>
    <row r="5" spans="1:5" ht="15" customHeight="1">
      <c r="A5" s="456" t="s">
        <v>0</v>
      </c>
      <c r="B5" s="456" t="s">
        <v>93</v>
      </c>
      <c r="C5" s="457" t="s">
        <v>94</v>
      </c>
      <c r="D5" s="457" t="s">
        <v>326</v>
      </c>
      <c r="E5" s="451" t="s">
        <v>107</v>
      </c>
    </row>
    <row r="6" spans="1:5" ht="47.25" customHeight="1">
      <c r="A6" s="456"/>
      <c r="B6" s="456"/>
      <c r="C6" s="457"/>
      <c r="D6" s="457"/>
      <c r="E6" s="452"/>
    </row>
    <row r="7" spans="1:5" ht="15">
      <c r="A7" s="310" t="s">
        <v>7</v>
      </c>
      <c r="B7" s="310" t="s">
        <v>8</v>
      </c>
      <c r="C7" s="311">
        <v>1</v>
      </c>
      <c r="D7" s="311">
        <v>2</v>
      </c>
      <c r="E7" s="312" t="s">
        <v>108</v>
      </c>
    </row>
    <row r="8" spans="1:5" ht="37.5" customHeight="1">
      <c r="A8" s="354" t="s">
        <v>7</v>
      </c>
      <c r="B8" s="356" t="s">
        <v>110</v>
      </c>
      <c r="C8" s="357">
        <f>C9+C12</f>
        <v>150774256004</v>
      </c>
      <c r="D8" s="357">
        <f>D9+D12</f>
        <v>19718641735</v>
      </c>
      <c r="E8" s="358">
        <f>E9+E12</f>
        <v>35.21186024107143</v>
      </c>
    </row>
    <row r="9" spans="1:5" ht="21" customHeight="1">
      <c r="A9" s="354" t="s">
        <v>3</v>
      </c>
      <c r="B9" s="356" t="s">
        <v>111</v>
      </c>
      <c r="C9" s="357">
        <f>C10+C11</f>
        <v>56000000000</v>
      </c>
      <c r="D9" s="357">
        <f>D10+D11</f>
        <v>19718641735</v>
      </c>
      <c r="E9" s="358">
        <f aca="true" t="shared" si="0" ref="E9:E20">D9/C9*100</f>
        <v>35.21186024107143</v>
      </c>
    </row>
    <row r="10" spans="1:5" ht="21" customHeight="1">
      <c r="A10" s="310" t="s">
        <v>32</v>
      </c>
      <c r="B10" s="359" t="s">
        <v>112</v>
      </c>
      <c r="C10" s="360">
        <v>56000000000</v>
      </c>
      <c r="D10" s="379">
        <f>'Bieu 94'!E8</f>
        <v>19718641735</v>
      </c>
      <c r="E10" s="358">
        <f>D10/C10*100</f>
        <v>35.21186024107143</v>
      </c>
    </row>
    <row r="11" spans="1:5" ht="21" customHeight="1">
      <c r="A11" s="310" t="s">
        <v>32</v>
      </c>
      <c r="B11" s="359" t="s">
        <v>113</v>
      </c>
      <c r="C11" s="360">
        <f>'Bieu 94'!D26</f>
        <v>0</v>
      </c>
      <c r="D11" s="361">
        <f>'Bieu 94'!E26</f>
        <v>0</v>
      </c>
      <c r="E11" s="358"/>
    </row>
    <row r="12" spans="1:5" ht="32.25" customHeight="1">
      <c r="A12" s="354" t="s">
        <v>5</v>
      </c>
      <c r="B12" s="356" t="s">
        <v>98</v>
      </c>
      <c r="C12" s="360">
        <v>94774256004</v>
      </c>
      <c r="D12" s="371"/>
      <c r="E12" s="358"/>
    </row>
    <row r="13" spans="1:5" ht="21" customHeight="1">
      <c r="A13" s="354" t="s">
        <v>8</v>
      </c>
      <c r="B13" s="356" t="s">
        <v>9</v>
      </c>
      <c r="C13" s="355">
        <f>C14+C18</f>
        <v>510913000000</v>
      </c>
      <c r="D13" s="355">
        <f>D14+D18</f>
        <v>309516000000</v>
      </c>
      <c r="E13" s="358">
        <f>D13/C13*100</f>
        <v>60.58095996774402</v>
      </c>
    </row>
    <row r="14" spans="1:5" ht="21" customHeight="1">
      <c r="A14" s="354" t="s">
        <v>3</v>
      </c>
      <c r="B14" s="356" t="s">
        <v>99</v>
      </c>
      <c r="C14" s="355">
        <f>C15+C16+C17</f>
        <v>415265000000</v>
      </c>
      <c r="D14" s="355">
        <f>D15+D16+D17</f>
        <v>278333000000</v>
      </c>
      <c r="E14" s="358">
        <f>D14/C14*100</f>
        <v>67.02539342347657</v>
      </c>
    </row>
    <row r="15" spans="1:5" ht="21" customHeight="1">
      <c r="A15" s="310">
        <v>1</v>
      </c>
      <c r="B15" s="359" t="s">
        <v>11</v>
      </c>
      <c r="C15" s="311">
        <v>36459000000</v>
      </c>
      <c r="D15" s="311">
        <f>'bieu 095'!G11</f>
        <v>34470000000</v>
      </c>
      <c r="E15" s="362">
        <f t="shared" si="0"/>
        <v>94.54455689953099</v>
      </c>
    </row>
    <row r="16" spans="1:5" ht="21" customHeight="1">
      <c r="A16" s="310">
        <v>2</v>
      </c>
      <c r="B16" s="359" t="s">
        <v>4</v>
      </c>
      <c r="C16" s="311">
        <v>370519000000</v>
      </c>
      <c r="D16" s="311">
        <f>'bieu 095'!G20</f>
        <v>243863000000</v>
      </c>
      <c r="E16" s="362">
        <f t="shared" si="0"/>
        <v>65.81659779930314</v>
      </c>
    </row>
    <row r="17" spans="1:5" ht="21" customHeight="1">
      <c r="A17" s="310">
        <v>3</v>
      </c>
      <c r="B17" s="359" t="s">
        <v>25</v>
      </c>
      <c r="C17" s="311">
        <v>8287000000</v>
      </c>
      <c r="D17" s="311"/>
      <c r="E17" s="362">
        <f t="shared" si="0"/>
        <v>0</v>
      </c>
    </row>
    <row r="18" spans="1:5" ht="33" customHeight="1">
      <c r="A18" s="354" t="s">
        <v>5</v>
      </c>
      <c r="B18" s="356" t="s">
        <v>109</v>
      </c>
      <c r="C18" s="355">
        <f>C19+C20</f>
        <v>95648000000</v>
      </c>
      <c r="D18" s="355">
        <f>D19+D20</f>
        <v>31183000000</v>
      </c>
      <c r="E18" s="358">
        <f t="shared" si="0"/>
        <v>32.60183171629307</v>
      </c>
    </row>
    <row r="19" spans="1:5" ht="21" customHeight="1">
      <c r="A19" s="310">
        <v>1</v>
      </c>
      <c r="B19" s="359" t="s">
        <v>100</v>
      </c>
      <c r="C19" s="311">
        <v>94306000000</v>
      </c>
      <c r="D19" s="311">
        <f>'bieu 095'!G39</f>
        <v>29724000000</v>
      </c>
      <c r="E19" s="362"/>
    </row>
    <row r="20" spans="1:5" ht="21" customHeight="1">
      <c r="A20" s="310">
        <v>2</v>
      </c>
      <c r="B20" s="359" t="s">
        <v>101</v>
      </c>
      <c r="C20" s="311">
        <v>1342000000</v>
      </c>
      <c r="D20" s="311">
        <f>'bieu 095'!G114</f>
        <v>1459000000</v>
      </c>
      <c r="E20" s="362">
        <f t="shared" si="0"/>
        <v>108.71833084947839</v>
      </c>
    </row>
    <row r="21" spans="1:5" ht="22.5" customHeight="1">
      <c r="A21" s="376"/>
      <c r="B21" s="376"/>
      <c r="C21" s="447"/>
      <c r="D21" s="447"/>
      <c r="E21" s="447"/>
    </row>
    <row r="22" spans="1:5" ht="15.75" customHeight="1">
      <c r="A22" s="376"/>
      <c r="B22" s="376"/>
      <c r="C22" s="448"/>
      <c r="D22" s="448"/>
      <c r="E22" s="448"/>
    </row>
    <row r="23" spans="3:5" ht="15.75" customHeight="1">
      <c r="C23" s="448"/>
      <c r="D23" s="448"/>
      <c r="E23" s="448"/>
    </row>
    <row r="24" spans="3:5" ht="15" customHeight="1">
      <c r="C24" s="449"/>
      <c r="D24" s="449"/>
      <c r="E24" s="449"/>
    </row>
    <row r="25" spans="3:5" ht="16.5">
      <c r="C25" s="52"/>
      <c r="D25" s="52"/>
      <c r="E25" s="51"/>
    </row>
    <row r="26" spans="3:5" ht="16.5">
      <c r="C26" s="52"/>
      <c r="D26" s="52"/>
      <c r="E26" s="51"/>
    </row>
    <row r="27" spans="3:5" ht="16.5">
      <c r="C27" s="52"/>
      <c r="D27" s="52"/>
      <c r="E27" s="51"/>
    </row>
    <row r="28" spans="3:5" ht="16.5">
      <c r="C28" s="450"/>
      <c r="D28" s="450"/>
      <c r="E28" s="450"/>
    </row>
    <row r="41" ht="84" customHeight="1" hidden="1"/>
    <row r="42" spans="1:2" ht="15.75" hidden="1">
      <c r="A42" s="46" t="s">
        <v>3</v>
      </c>
      <c r="B42" s="47" t="s">
        <v>95</v>
      </c>
    </row>
    <row r="43" spans="1:2" ht="15.75" hidden="1">
      <c r="A43" s="48" t="s">
        <v>32</v>
      </c>
      <c r="B43" s="49" t="s">
        <v>96</v>
      </c>
    </row>
    <row r="44" spans="1:2" ht="25.5" hidden="1">
      <c r="A44" s="48" t="s">
        <v>32</v>
      </c>
      <c r="B44" s="49" t="s">
        <v>97</v>
      </c>
    </row>
    <row r="45" ht="15" hidden="1"/>
    <row r="46" ht="15" hidden="1"/>
  </sheetData>
  <sheetProtection/>
  <mergeCells count="13">
    <mergeCell ref="D1:E1"/>
    <mergeCell ref="A2:E2"/>
    <mergeCell ref="A3:E3"/>
    <mergeCell ref="A5:A6"/>
    <mergeCell ref="B5:B6"/>
    <mergeCell ref="C5:C6"/>
    <mergeCell ref="D5:D6"/>
    <mergeCell ref="C21:E21"/>
    <mergeCell ref="C22:E22"/>
    <mergeCell ref="C23:E23"/>
    <mergeCell ref="C24:E24"/>
    <mergeCell ref="C28:E28"/>
    <mergeCell ref="E5:E6"/>
  </mergeCells>
  <printOptions/>
  <pageMargins left="0.7874015748031497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zoomScalePageLayoutView="0" workbookViewId="0" topLeftCell="A1">
      <selection activeCell="E31" sqref="E31"/>
    </sheetView>
  </sheetViews>
  <sheetFormatPr defaultColWidth="9.00390625" defaultRowHeight="14.25"/>
  <cols>
    <col min="1" max="1" width="6.00390625" style="395" customWidth="1"/>
    <col min="2" max="2" width="30.875" style="395" customWidth="1"/>
    <col min="3" max="3" width="12.125" style="394" hidden="1" customWidth="1"/>
    <col min="4" max="4" width="16.25390625" style="395" bestFit="1" customWidth="1"/>
    <col min="5" max="5" width="16.00390625" style="395" customWidth="1"/>
    <col min="6" max="6" width="7.625" style="395" customWidth="1"/>
    <col min="7" max="7" width="8.75390625" style="395" customWidth="1"/>
    <col min="8" max="8" width="13.125" style="395" bestFit="1" customWidth="1"/>
    <col min="9" max="9" width="0" style="395" hidden="1" customWidth="1"/>
    <col min="10" max="10" width="18.125" style="395" hidden="1" customWidth="1"/>
    <col min="11" max="11" width="17.125" style="395" hidden="1" customWidth="1"/>
    <col min="12" max="12" width="14.50390625" style="395" hidden="1" customWidth="1"/>
    <col min="13" max="15" width="0" style="395" hidden="1" customWidth="1"/>
    <col min="16" max="16384" width="9.00390625" style="395" customWidth="1"/>
  </cols>
  <sheetData>
    <row r="1" spans="1:7" ht="16.5">
      <c r="A1" s="464" t="s">
        <v>56</v>
      </c>
      <c r="B1" s="464"/>
      <c r="E1" s="458" t="s">
        <v>153</v>
      </c>
      <c r="F1" s="458"/>
      <c r="G1" s="458"/>
    </row>
    <row r="2" spans="1:7" ht="24.75" customHeight="1">
      <c r="A2" s="460" t="s">
        <v>323</v>
      </c>
      <c r="B2" s="460"/>
      <c r="C2" s="460"/>
      <c r="D2" s="460"/>
      <c r="E2" s="460"/>
      <c r="F2" s="460"/>
      <c r="G2" s="460"/>
    </row>
    <row r="3" spans="1:7" ht="29.25" customHeight="1">
      <c r="A3" s="461" t="str">
        <f>'bieu 095'!A3:H3</f>
        <v>(Kèm theo Quyết định số:     QĐ-UBND ngày     tháng 10 năm 2023 của UBND huyện Ba Bể)</v>
      </c>
      <c r="B3" s="461"/>
      <c r="C3" s="461"/>
      <c r="D3" s="461"/>
      <c r="E3" s="461"/>
      <c r="F3" s="461"/>
      <c r="G3" s="461"/>
    </row>
    <row r="4" ht="15.75">
      <c r="G4" s="162" t="s">
        <v>251</v>
      </c>
    </row>
    <row r="5" spans="1:7" s="396" customFormat="1" ht="17.25" customHeight="1">
      <c r="A5" s="462" t="s">
        <v>0</v>
      </c>
      <c r="B5" s="462" t="s">
        <v>116</v>
      </c>
      <c r="C5" s="467" t="s">
        <v>252</v>
      </c>
      <c r="D5" s="462" t="s">
        <v>302</v>
      </c>
      <c r="E5" s="462" t="s">
        <v>324</v>
      </c>
      <c r="F5" s="465" t="s">
        <v>117</v>
      </c>
      <c r="G5" s="466"/>
    </row>
    <row r="6" spans="1:7" s="396" customFormat="1" ht="45.75" customHeight="1">
      <c r="A6" s="463"/>
      <c r="B6" s="463"/>
      <c r="C6" s="468"/>
      <c r="D6" s="463"/>
      <c r="E6" s="463"/>
      <c r="F6" s="399" t="s">
        <v>106</v>
      </c>
      <c r="G6" s="399" t="s">
        <v>118</v>
      </c>
    </row>
    <row r="7" spans="1:7" s="396" customFormat="1" ht="19.5" customHeight="1">
      <c r="A7" s="363" t="s">
        <v>7</v>
      </c>
      <c r="B7" s="363" t="s">
        <v>8</v>
      </c>
      <c r="C7" s="364"/>
      <c r="D7" s="363">
        <v>1</v>
      </c>
      <c r="E7" s="363">
        <v>2</v>
      </c>
      <c r="F7" s="363" t="s">
        <v>119</v>
      </c>
      <c r="G7" s="363">
        <v>4</v>
      </c>
    </row>
    <row r="8" spans="1:7" s="396" customFormat="1" ht="21" customHeight="1">
      <c r="A8" s="386" t="s">
        <v>7</v>
      </c>
      <c r="B8" s="387" t="s">
        <v>120</v>
      </c>
      <c r="C8" s="365">
        <f>C9</f>
        <v>8414238000</v>
      </c>
      <c r="D8" s="365">
        <f>D9</f>
        <v>56000000000</v>
      </c>
      <c r="E8" s="365">
        <f>E9</f>
        <v>19718641735</v>
      </c>
      <c r="F8" s="392">
        <f>E8/D8*100</f>
        <v>35.21186024107143</v>
      </c>
      <c r="G8" s="392">
        <f>E8/C8*100</f>
        <v>234.34851420889214</v>
      </c>
    </row>
    <row r="9" spans="1:11" s="396" customFormat="1" ht="21" customHeight="1">
      <c r="A9" s="386" t="s">
        <v>3</v>
      </c>
      <c r="B9" s="387" t="s">
        <v>112</v>
      </c>
      <c r="C9" s="365">
        <f>SUM(C10:C25)</f>
        <v>8414238000</v>
      </c>
      <c r="D9" s="365">
        <f>SUM(D10:D25)</f>
        <v>56000000000</v>
      </c>
      <c r="E9" s="365">
        <f>SUM(E10:E25)</f>
        <v>19718641735</v>
      </c>
      <c r="F9" s="392">
        <f>E9/D9*100</f>
        <v>35.21186024107143</v>
      </c>
      <c r="G9" s="392">
        <f>E9/C9*100</f>
        <v>234.34851420889214</v>
      </c>
      <c r="J9" s="163">
        <f>SUM(J10:J25)</f>
        <v>56000000000000</v>
      </c>
      <c r="K9" s="163">
        <f>SUM(K10:K25)</f>
        <v>19718641735000</v>
      </c>
    </row>
    <row r="10" spans="1:12" s="396" customFormat="1" ht="21" customHeight="1">
      <c r="A10" s="388">
        <v>1</v>
      </c>
      <c r="B10" s="389" t="s">
        <v>121</v>
      </c>
      <c r="C10" s="391">
        <v>284236000</v>
      </c>
      <c r="D10" s="366">
        <f>1780000000+200000000</f>
        <v>1980000000</v>
      </c>
      <c r="E10" s="372">
        <v>1047651783</v>
      </c>
      <c r="F10" s="392">
        <f>E10/D10*100</f>
        <v>52.91170621212121</v>
      </c>
      <c r="G10" s="392">
        <f aca="true" t="shared" si="0" ref="G10:G24">E10/C10*100</f>
        <v>368.58518379093425</v>
      </c>
      <c r="H10" s="397"/>
      <c r="I10" s="396">
        <v>1000</v>
      </c>
      <c r="J10" s="397">
        <f>D10*I10</f>
        <v>1980000000000</v>
      </c>
      <c r="K10" s="397">
        <f>E10*I10</f>
        <v>1047651783000</v>
      </c>
      <c r="L10" s="397">
        <f>C10*I10</f>
        <v>284236000000</v>
      </c>
    </row>
    <row r="11" spans="1:12" s="396" customFormat="1" ht="30">
      <c r="A11" s="388">
        <v>2</v>
      </c>
      <c r="B11" s="389" t="s">
        <v>122</v>
      </c>
      <c r="C11" s="366">
        <v>0</v>
      </c>
      <c r="D11" s="366">
        <v>0</v>
      </c>
      <c r="E11" s="366"/>
      <c r="F11" s="392"/>
      <c r="G11" s="392"/>
      <c r="H11" s="397"/>
      <c r="I11" s="396">
        <v>1000</v>
      </c>
      <c r="J11" s="397">
        <f aca="true" t="shared" si="1" ref="J11:J29">D11*I11</f>
        <v>0</v>
      </c>
      <c r="K11" s="397">
        <f aca="true" t="shared" si="2" ref="K11:K29">E11*I11</f>
        <v>0</v>
      </c>
      <c r="L11" s="397">
        <f aca="true" t="shared" si="3" ref="L11:L29">C11*I11</f>
        <v>0</v>
      </c>
    </row>
    <row r="12" spans="1:12" s="396" customFormat="1" ht="19.5" customHeight="1">
      <c r="A12" s="388">
        <v>3</v>
      </c>
      <c r="B12" s="389" t="s">
        <v>123</v>
      </c>
      <c r="C12" s="398">
        <v>1947205000</v>
      </c>
      <c r="D12" s="366">
        <v>8850000000</v>
      </c>
      <c r="E12" s="372">
        <v>7191274443</v>
      </c>
      <c r="F12" s="392">
        <f aca="true" t="shared" si="4" ref="F12:F24">E12/D12*100</f>
        <v>81.25733833898306</v>
      </c>
      <c r="G12" s="392">
        <f t="shared" si="0"/>
        <v>369.3126529050613</v>
      </c>
      <c r="H12" s="397"/>
      <c r="I12" s="396">
        <v>1000</v>
      </c>
      <c r="J12" s="397">
        <f t="shared" si="1"/>
        <v>8850000000000</v>
      </c>
      <c r="K12" s="397">
        <f t="shared" si="2"/>
        <v>7191274443000</v>
      </c>
      <c r="L12" s="397">
        <f t="shared" si="3"/>
        <v>1947205000000</v>
      </c>
    </row>
    <row r="13" spans="1:12" s="396" customFormat="1" ht="19.5" customHeight="1">
      <c r="A13" s="388">
        <v>4</v>
      </c>
      <c r="B13" s="389" t="s">
        <v>124</v>
      </c>
      <c r="C13" s="366">
        <v>452820000</v>
      </c>
      <c r="D13" s="367">
        <v>1700000000</v>
      </c>
      <c r="E13" s="372">
        <v>1105015435</v>
      </c>
      <c r="F13" s="392">
        <f t="shared" si="4"/>
        <v>65.00090794117646</v>
      </c>
      <c r="G13" s="392">
        <f t="shared" si="0"/>
        <v>244.02973256481607</v>
      </c>
      <c r="H13" s="397"/>
      <c r="I13" s="396">
        <v>1000</v>
      </c>
      <c r="J13" s="397">
        <f t="shared" si="1"/>
        <v>1700000000000</v>
      </c>
      <c r="K13" s="397">
        <f t="shared" si="2"/>
        <v>1105015435000</v>
      </c>
      <c r="L13" s="397">
        <f t="shared" si="3"/>
        <v>452820000000</v>
      </c>
    </row>
    <row r="14" spans="1:12" s="396" customFormat="1" ht="19.5" customHeight="1">
      <c r="A14" s="388">
        <v>5</v>
      </c>
      <c r="B14" s="389" t="s">
        <v>125</v>
      </c>
      <c r="C14" s="367">
        <v>0</v>
      </c>
      <c r="D14" s="367">
        <v>0</v>
      </c>
      <c r="E14" s="367"/>
      <c r="F14" s="392"/>
      <c r="G14" s="392"/>
      <c r="H14" s="397"/>
      <c r="I14" s="396">
        <v>1000</v>
      </c>
      <c r="J14" s="397">
        <f t="shared" si="1"/>
        <v>0</v>
      </c>
      <c r="K14" s="397">
        <f t="shared" si="2"/>
        <v>0</v>
      </c>
      <c r="L14" s="397">
        <f t="shared" si="3"/>
        <v>0</v>
      </c>
    </row>
    <row r="15" spans="1:12" s="396" customFormat="1" ht="19.5" customHeight="1">
      <c r="A15" s="388">
        <v>6</v>
      </c>
      <c r="B15" s="389" t="s">
        <v>126</v>
      </c>
      <c r="C15" s="367">
        <v>1018552000</v>
      </c>
      <c r="D15" s="367">
        <v>5000000000</v>
      </c>
      <c r="E15" s="372">
        <v>3797543037</v>
      </c>
      <c r="F15" s="392">
        <f t="shared" si="4"/>
        <v>75.95086074000001</v>
      </c>
      <c r="G15" s="392">
        <f t="shared" si="0"/>
        <v>372.8374238134136</v>
      </c>
      <c r="H15" s="397"/>
      <c r="I15" s="396">
        <v>1000</v>
      </c>
      <c r="J15" s="397">
        <f t="shared" si="1"/>
        <v>5000000000000</v>
      </c>
      <c r="K15" s="397">
        <f t="shared" si="2"/>
        <v>3797543037000</v>
      </c>
      <c r="L15" s="397">
        <f t="shared" si="3"/>
        <v>1018552000000</v>
      </c>
    </row>
    <row r="16" spans="1:12" s="396" customFormat="1" ht="19.5" customHeight="1">
      <c r="A16" s="388">
        <v>7</v>
      </c>
      <c r="B16" s="389" t="s">
        <v>127</v>
      </c>
      <c r="C16" s="367">
        <v>638749000</v>
      </c>
      <c r="D16" s="367">
        <v>1850000000</v>
      </c>
      <c r="E16" s="372">
        <v>2347052331</v>
      </c>
      <c r="F16" s="392">
        <f t="shared" si="4"/>
        <v>126.86769356756757</v>
      </c>
      <c r="G16" s="392">
        <f t="shared" si="0"/>
        <v>367.4451671939995</v>
      </c>
      <c r="H16" s="397"/>
      <c r="I16" s="396">
        <v>1000</v>
      </c>
      <c r="J16" s="397">
        <f t="shared" si="1"/>
        <v>1850000000000</v>
      </c>
      <c r="K16" s="397">
        <f t="shared" si="2"/>
        <v>2347052331000</v>
      </c>
      <c r="L16" s="397">
        <f t="shared" si="3"/>
        <v>638749000000</v>
      </c>
    </row>
    <row r="17" spans="1:12" s="396" customFormat="1" ht="19.5" customHeight="1">
      <c r="A17" s="388">
        <v>8</v>
      </c>
      <c r="B17" s="389" t="s">
        <v>128</v>
      </c>
      <c r="C17" s="398">
        <v>0</v>
      </c>
      <c r="D17" s="367">
        <v>0</v>
      </c>
      <c r="E17" s="367"/>
      <c r="F17" s="392"/>
      <c r="G17" s="392"/>
      <c r="H17" s="397"/>
      <c r="I17" s="396">
        <v>1000</v>
      </c>
      <c r="J17" s="397">
        <f t="shared" si="1"/>
        <v>0</v>
      </c>
      <c r="K17" s="397">
        <f t="shared" si="2"/>
        <v>0</v>
      </c>
      <c r="L17" s="397">
        <f t="shared" si="3"/>
        <v>0</v>
      </c>
    </row>
    <row r="18" spans="1:12" s="396" customFormat="1" ht="19.5" customHeight="1">
      <c r="A18" s="388"/>
      <c r="B18" s="390" t="s">
        <v>129</v>
      </c>
      <c r="C18" s="398">
        <v>39862000</v>
      </c>
      <c r="D18" s="373">
        <v>0</v>
      </c>
      <c r="E18" s="372"/>
      <c r="F18" s="392"/>
      <c r="G18" s="392">
        <f t="shared" si="0"/>
        <v>0</v>
      </c>
      <c r="H18" s="397"/>
      <c r="I18" s="396">
        <v>1000</v>
      </c>
      <c r="J18" s="397">
        <f t="shared" si="1"/>
        <v>0</v>
      </c>
      <c r="K18" s="397">
        <f t="shared" si="2"/>
        <v>0</v>
      </c>
      <c r="L18" s="397">
        <f t="shared" si="3"/>
        <v>39862000000</v>
      </c>
    </row>
    <row r="19" spans="1:12" s="396" customFormat="1" ht="19.5" customHeight="1">
      <c r="A19" s="388"/>
      <c r="B19" s="390" t="s">
        <v>130</v>
      </c>
      <c r="C19" s="398">
        <v>1192000</v>
      </c>
      <c r="D19" s="373">
        <v>20000000</v>
      </c>
      <c r="E19" s="372">
        <v>1989419</v>
      </c>
      <c r="F19" s="392">
        <f t="shared" si="4"/>
        <v>9.947095000000001</v>
      </c>
      <c r="G19" s="392">
        <f t="shared" si="0"/>
        <v>166.89756711409396</v>
      </c>
      <c r="H19" s="397"/>
      <c r="I19" s="396">
        <v>1000</v>
      </c>
      <c r="J19" s="397">
        <f t="shared" si="1"/>
        <v>20000000000</v>
      </c>
      <c r="K19" s="397">
        <f t="shared" si="2"/>
        <v>1989419000</v>
      </c>
      <c r="L19" s="397">
        <f t="shared" si="3"/>
        <v>1192000000</v>
      </c>
    </row>
    <row r="20" spans="1:12" s="396" customFormat="1" ht="19.5" customHeight="1">
      <c r="A20" s="388"/>
      <c r="B20" s="390" t="s">
        <v>131</v>
      </c>
      <c r="C20" s="368">
        <v>0</v>
      </c>
      <c r="D20" s="373">
        <v>0</v>
      </c>
      <c r="E20" s="372">
        <v>11430120</v>
      </c>
      <c r="F20" s="392"/>
      <c r="G20" s="392"/>
      <c r="H20" s="397"/>
      <c r="I20" s="396">
        <v>1000</v>
      </c>
      <c r="J20" s="397">
        <f t="shared" si="1"/>
        <v>0</v>
      </c>
      <c r="K20" s="397">
        <f t="shared" si="2"/>
        <v>11430120000</v>
      </c>
      <c r="L20" s="397">
        <f t="shared" si="3"/>
        <v>0</v>
      </c>
    </row>
    <row r="21" spans="1:12" s="396" customFormat="1" ht="19.5" customHeight="1">
      <c r="A21" s="388"/>
      <c r="B21" s="390" t="s">
        <v>132</v>
      </c>
      <c r="C21" s="398">
        <v>2756391000</v>
      </c>
      <c r="D21" s="373">
        <v>33000000000</v>
      </c>
      <c r="E21" s="372">
        <v>1392008950</v>
      </c>
      <c r="F21" s="392">
        <f t="shared" si="4"/>
        <v>4.218208939393939</v>
      </c>
      <c r="G21" s="392">
        <f t="shared" si="0"/>
        <v>50.5011426172847</v>
      </c>
      <c r="H21" s="397"/>
      <c r="I21" s="396">
        <v>1000</v>
      </c>
      <c r="J21" s="397">
        <f t="shared" si="1"/>
        <v>33000000000000</v>
      </c>
      <c r="K21" s="397">
        <f t="shared" si="2"/>
        <v>1392008950000</v>
      </c>
      <c r="L21" s="397">
        <f t="shared" si="3"/>
        <v>2756391000000</v>
      </c>
    </row>
    <row r="22" spans="1:12" s="396" customFormat="1" ht="30">
      <c r="A22" s="388"/>
      <c r="B22" s="390" t="s">
        <v>133</v>
      </c>
      <c r="C22" s="368">
        <v>0</v>
      </c>
      <c r="D22" s="373">
        <v>0</v>
      </c>
      <c r="E22" s="373"/>
      <c r="F22" s="392"/>
      <c r="G22" s="392"/>
      <c r="H22" s="397"/>
      <c r="I22" s="396">
        <v>1000</v>
      </c>
      <c r="J22" s="397">
        <f t="shared" si="1"/>
        <v>0</v>
      </c>
      <c r="K22" s="397">
        <f t="shared" si="2"/>
        <v>0</v>
      </c>
      <c r="L22" s="397">
        <f t="shared" si="3"/>
        <v>0</v>
      </c>
    </row>
    <row r="23" spans="1:12" s="396" customFormat="1" ht="19.5" customHeight="1">
      <c r="A23" s="388">
        <v>9</v>
      </c>
      <c r="B23" s="389" t="s">
        <v>134</v>
      </c>
      <c r="C23" s="367">
        <v>0</v>
      </c>
      <c r="D23" s="367">
        <v>0</v>
      </c>
      <c r="E23" s="367"/>
      <c r="F23" s="392"/>
      <c r="G23" s="392"/>
      <c r="H23" s="397"/>
      <c r="I23" s="396">
        <v>1000</v>
      </c>
      <c r="J23" s="397">
        <f t="shared" si="1"/>
        <v>0</v>
      </c>
      <c r="K23" s="397">
        <f t="shared" si="2"/>
        <v>0</v>
      </c>
      <c r="L23" s="397">
        <f t="shared" si="3"/>
        <v>0</v>
      </c>
    </row>
    <row r="24" spans="1:12" s="396" customFormat="1" ht="19.5" customHeight="1">
      <c r="A24" s="388">
        <v>10</v>
      </c>
      <c r="B24" s="389" t="s">
        <v>135</v>
      </c>
      <c r="C24" s="367">
        <v>1275231000</v>
      </c>
      <c r="D24" s="367">
        <v>3600000000</v>
      </c>
      <c r="E24" s="372">
        <v>2824676217</v>
      </c>
      <c r="F24" s="392">
        <f t="shared" si="4"/>
        <v>78.46322825</v>
      </c>
      <c r="G24" s="392">
        <f t="shared" si="0"/>
        <v>221.50310155571816</v>
      </c>
      <c r="H24" s="397"/>
      <c r="I24" s="396">
        <v>1000</v>
      </c>
      <c r="J24" s="397">
        <f t="shared" si="1"/>
        <v>3600000000000</v>
      </c>
      <c r="K24" s="397">
        <f t="shared" si="2"/>
        <v>2824676217000</v>
      </c>
      <c r="L24" s="397">
        <f t="shared" si="3"/>
        <v>1275231000000</v>
      </c>
    </row>
    <row r="25" spans="1:12" s="396" customFormat="1" ht="30">
      <c r="A25" s="388">
        <v>11</v>
      </c>
      <c r="B25" s="389" t="s">
        <v>136</v>
      </c>
      <c r="C25" s="367">
        <v>0</v>
      </c>
      <c r="D25" s="367">
        <v>0</v>
      </c>
      <c r="E25" s="367"/>
      <c r="F25" s="392"/>
      <c r="G25" s="392"/>
      <c r="H25" s="397"/>
      <c r="I25" s="396">
        <v>1000</v>
      </c>
      <c r="J25" s="397">
        <f t="shared" si="1"/>
        <v>0</v>
      </c>
      <c r="K25" s="397">
        <f t="shared" si="2"/>
        <v>0</v>
      </c>
      <c r="L25" s="397">
        <f t="shared" si="3"/>
        <v>0</v>
      </c>
    </row>
    <row r="26" spans="1:12" s="396" customFormat="1" ht="19.5" customHeight="1">
      <c r="A26" s="386" t="s">
        <v>5</v>
      </c>
      <c r="B26" s="387" t="s">
        <v>113</v>
      </c>
      <c r="C26" s="367">
        <v>0</v>
      </c>
      <c r="D26" s="367"/>
      <c r="E26" s="367"/>
      <c r="F26" s="392"/>
      <c r="G26" s="393"/>
      <c r="H26" s="397"/>
      <c r="I26" s="396">
        <v>1000</v>
      </c>
      <c r="J26" s="397">
        <f t="shared" si="1"/>
        <v>0</v>
      </c>
      <c r="K26" s="397">
        <f t="shared" si="2"/>
        <v>0</v>
      </c>
      <c r="L26" s="397">
        <f t="shared" si="3"/>
        <v>0</v>
      </c>
    </row>
    <row r="27" spans="1:12" s="396" customFormat="1" ht="28.5">
      <c r="A27" s="386" t="s">
        <v>8</v>
      </c>
      <c r="B27" s="387" t="s">
        <v>137</v>
      </c>
      <c r="C27" s="369">
        <f>SUM(C28:C29)</f>
        <v>20137854000</v>
      </c>
      <c r="D27" s="365">
        <f>SUM(D28:D29)</f>
        <v>45530000000</v>
      </c>
      <c r="E27" s="365">
        <f>SUM(E28:E29)</f>
        <v>17004694744</v>
      </c>
      <c r="F27" s="392">
        <f>E27/D27*100</f>
        <v>37.348330208653636</v>
      </c>
      <c r="G27" s="392">
        <f>E27/C27*100</f>
        <v>84.44144417771625</v>
      </c>
      <c r="I27" s="396">
        <v>1000</v>
      </c>
      <c r="J27" s="164">
        <f>SUM(J28:J29)</f>
        <v>45530000000000</v>
      </c>
      <c r="K27" s="164">
        <f>SUM(K28:K29)</f>
        <v>17004694744000</v>
      </c>
      <c r="L27" s="397">
        <f t="shared" si="3"/>
        <v>20137854000000</v>
      </c>
    </row>
    <row r="28" spans="1:12" s="396" customFormat="1" ht="21" customHeight="1">
      <c r="A28" s="388">
        <v>1</v>
      </c>
      <c r="B28" s="389" t="s">
        <v>138</v>
      </c>
      <c r="C28" s="367">
        <v>14251439000</v>
      </c>
      <c r="D28" s="367">
        <v>24585000000</v>
      </c>
      <c r="E28" s="367">
        <f>'[3]Sheet4'!C20</f>
        <v>1266227594</v>
      </c>
      <c r="F28" s="393">
        <f>E28/D28*100</f>
        <v>5.150407134431564</v>
      </c>
      <c r="G28" s="393">
        <f>E28/C28*100</f>
        <v>8.884910457112436</v>
      </c>
      <c r="I28" s="396">
        <v>1000</v>
      </c>
      <c r="J28" s="397">
        <f t="shared" si="1"/>
        <v>24585000000000</v>
      </c>
      <c r="K28" s="397">
        <f t="shared" si="2"/>
        <v>1266227594000</v>
      </c>
      <c r="L28" s="397">
        <f t="shared" si="3"/>
        <v>14251439000000</v>
      </c>
    </row>
    <row r="29" spans="1:12" s="396" customFormat="1" ht="30">
      <c r="A29" s="388">
        <v>2</v>
      </c>
      <c r="B29" s="389" t="s">
        <v>139</v>
      </c>
      <c r="C29" s="370">
        <v>5886415000</v>
      </c>
      <c r="D29" s="367">
        <v>20945000000</v>
      </c>
      <c r="E29" s="367">
        <f>'[3]Sheet4'!C8</f>
        <v>15738467150</v>
      </c>
      <c r="F29" s="393">
        <f>E29/D29*100</f>
        <v>75.14188183337312</v>
      </c>
      <c r="G29" s="393">
        <f>E29/C29*100</f>
        <v>267.3693096732052</v>
      </c>
      <c r="I29" s="396">
        <v>1000</v>
      </c>
      <c r="J29" s="397">
        <f t="shared" si="1"/>
        <v>20945000000000</v>
      </c>
      <c r="K29" s="397">
        <f t="shared" si="2"/>
        <v>15738467150000</v>
      </c>
      <c r="L29" s="397">
        <f t="shared" si="3"/>
        <v>5886415000000</v>
      </c>
    </row>
    <row r="32" spans="5:7" ht="15.75" customHeight="1">
      <c r="E32" s="459"/>
      <c r="F32" s="459"/>
      <c r="G32" s="459"/>
    </row>
    <row r="33" ht="15.75" customHeight="1">
      <c r="F33" s="161"/>
    </row>
    <row r="34" ht="15.75" customHeight="1">
      <c r="F34" s="161"/>
    </row>
    <row r="35" ht="15.75">
      <c r="F35" s="166"/>
    </row>
    <row r="36" spans="5:7" ht="15.75">
      <c r="E36" s="459"/>
      <c r="F36" s="459"/>
      <c r="G36" s="459"/>
    </row>
  </sheetData>
  <sheetProtection/>
  <mergeCells count="12">
    <mergeCell ref="F5:G5"/>
    <mergeCell ref="C5:C6"/>
    <mergeCell ref="E1:G1"/>
    <mergeCell ref="E32:G32"/>
    <mergeCell ref="E36:G36"/>
    <mergeCell ref="A2:G2"/>
    <mergeCell ref="A3:G3"/>
    <mergeCell ref="A5:A6"/>
    <mergeCell ref="B5:B6"/>
    <mergeCell ref="A1:B1"/>
    <mergeCell ref="D5:D6"/>
    <mergeCell ref="E5:E6"/>
  </mergeCells>
  <printOptions/>
  <pageMargins left="0.5905511811023623" right="0.196850393700787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2.75390625" style="31" hidden="1" customWidth="1"/>
    <col min="5" max="5" width="11.50390625" style="54" customWidth="1"/>
    <col min="6" max="6" width="9.75390625" style="31" customWidth="1"/>
    <col min="7" max="7" width="14.75390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469" t="s">
        <v>102</v>
      </c>
      <c r="F1" s="469"/>
    </row>
    <row r="2" spans="1:6" ht="41.25" customHeight="1">
      <c r="A2" s="470" t="s">
        <v>154</v>
      </c>
      <c r="B2" s="470"/>
      <c r="C2" s="470"/>
      <c r="D2" s="470"/>
      <c r="E2" s="470"/>
      <c r="F2" s="470"/>
    </row>
    <row r="3" spans="1:6" ht="20.25" customHeight="1">
      <c r="A3" s="485"/>
      <c r="B3" s="485"/>
      <c r="C3" s="485"/>
      <c r="D3" s="485"/>
      <c r="E3" s="485"/>
      <c r="F3" s="485"/>
    </row>
    <row r="4" spans="1:6" ht="19.5" customHeight="1">
      <c r="A4" s="471" t="s">
        <v>55</v>
      </c>
      <c r="B4" s="471"/>
      <c r="C4" s="471"/>
      <c r="D4" s="471"/>
      <c r="E4" s="471"/>
      <c r="F4" s="471"/>
    </row>
    <row r="5" spans="1:6" ht="17.25" customHeight="1">
      <c r="A5" s="472" t="s">
        <v>0</v>
      </c>
      <c r="B5" s="472" t="s">
        <v>6</v>
      </c>
      <c r="C5" s="473" t="s">
        <v>115</v>
      </c>
      <c r="D5" s="474"/>
      <c r="E5" s="482" t="s">
        <v>152</v>
      </c>
      <c r="F5" s="479" t="s">
        <v>114</v>
      </c>
    </row>
    <row r="6" spans="1:6" ht="29.25" customHeight="1">
      <c r="A6" s="472"/>
      <c r="B6" s="472"/>
      <c r="C6" s="475"/>
      <c r="D6" s="476"/>
      <c r="E6" s="483"/>
      <c r="F6" s="480"/>
    </row>
    <row r="7" spans="1:6" ht="37.5" customHeight="1">
      <c r="A7" s="472"/>
      <c r="B7" s="472"/>
      <c r="C7" s="477"/>
      <c r="D7" s="478"/>
      <c r="E7" s="484"/>
      <c r="F7" s="481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55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58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62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62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59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59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59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59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59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62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70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70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70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70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70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70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70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70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70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70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70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70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70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75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75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75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72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72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72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72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72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72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72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72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80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72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72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72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72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72">
        <f>Sheet1!G47</f>
        <v>183954</v>
      </c>
      <c r="F47" s="14"/>
    </row>
    <row r="48" spans="1:6" ht="26.2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72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80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80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72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72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72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72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72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72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72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75">
        <f>E59+E62</f>
        <v>15102900</v>
      </c>
      <c r="F58" s="14">
        <f>E58/C58*100</f>
        <v>119.54171283837265</v>
      </c>
    </row>
    <row r="59" spans="1:6" ht="21" customHeight="1">
      <c r="A59" s="86" t="s">
        <v>89</v>
      </c>
      <c r="B59" s="65" t="s">
        <v>28</v>
      </c>
      <c r="C59" s="18">
        <f>SUM(C60:C61)</f>
        <v>0</v>
      </c>
      <c r="D59" s="18">
        <f>SUM(D60:D61)</f>
        <v>0</v>
      </c>
      <c r="E59" s="72">
        <f>Sheet1!G59</f>
        <v>120000</v>
      </c>
      <c r="F59" s="14"/>
    </row>
    <row r="60" spans="1:6" ht="21" customHeight="1">
      <c r="A60" s="86" t="s">
        <v>32</v>
      </c>
      <c r="B60" s="65" t="s">
        <v>88</v>
      </c>
      <c r="C60" s="14">
        <f>SUM(D60:D60)</f>
        <v>0</v>
      </c>
      <c r="D60" s="18"/>
      <c r="E60" s="72">
        <f>Sheet1!G60</f>
        <v>120000</v>
      </c>
      <c r="F60" s="14"/>
    </row>
    <row r="61" spans="1:6" ht="21" customHeight="1">
      <c r="A61" s="86" t="s">
        <v>32</v>
      </c>
      <c r="B61" s="88" t="s">
        <v>84</v>
      </c>
      <c r="C61" s="25">
        <f>SUM(D61:D61)</f>
        <v>0</v>
      </c>
      <c r="D61" s="18"/>
      <c r="E61" s="72" t="str">
        <f>Sheet1!G61</f>
        <v>-</v>
      </c>
      <c r="F61" s="14"/>
    </row>
    <row r="62" spans="1:6" ht="21" customHeight="1">
      <c r="A62" s="86" t="s">
        <v>90</v>
      </c>
      <c r="B62" s="65" t="s">
        <v>29</v>
      </c>
      <c r="C62" s="18">
        <f>SUM(C63:C82)</f>
        <v>12634000</v>
      </c>
      <c r="D62" s="18">
        <f>SUM(D63:D82)</f>
        <v>12634000</v>
      </c>
      <c r="E62" s="72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86" t="s">
        <v>32</v>
      </c>
      <c r="B63" s="90" t="s">
        <v>33</v>
      </c>
      <c r="C63" s="14">
        <f>Sheet1!E63</f>
        <v>2235000</v>
      </c>
      <c r="D63" s="18">
        <v>2235000</v>
      </c>
      <c r="E63" s="72">
        <f>Sheet1!G63</f>
        <v>917672</v>
      </c>
      <c r="F63" s="14">
        <f t="shared" si="2"/>
        <v>41.059149888143175</v>
      </c>
    </row>
    <row r="64" spans="1:6" ht="31.5" customHeight="1">
      <c r="A64" s="86" t="s">
        <v>32</v>
      </c>
      <c r="B64" s="90" t="s">
        <v>34</v>
      </c>
      <c r="C64" s="14">
        <f>Sheet1!E64</f>
        <v>145000</v>
      </c>
      <c r="D64" s="18">
        <v>145000</v>
      </c>
      <c r="E64" s="72">
        <f>Sheet1!G64</f>
        <v>76100</v>
      </c>
      <c r="F64" s="14">
        <f t="shared" si="2"/>
        <v>52.48275862068965</v>
      </c>
    </row>
    <row r="65" spans="1:6" ht="48.75" customHeight="1">
      <c r="A65" s="86" t="s">
        <v>32</v>
      </c>
      <c r="B65" s="90" t="s">
        <v>35</v>
      </c>
      <c r="C65" s="14">
        <f>Sheet1!E65</f>
        <v>3804000</v>
      </c>
      <c r="D65" s="18">
        <v>3804000</v>
      </c>
      <c r="E65" s="72">
        <f>Sheet1!G65</f>
        <v>1605400</v>
      </c>
      <c r="F65" s="14">
        <f t="shared" si="2"/>
        <v>42.202944269190326</v>
      </c>
    </row>
    <row r="66" spans="1:6" ht="35.25" customHeight="1">
      <c r="A66" s="86" t="s">
        <v>32</v>
      </c>
      <c r="B66" s="90" t="s">
        <v>36</v>
      </c>
      <c r="C66" s="14">
        <f>Sheet1!E66</f>
        <v>913000</v>
      </c>
      <c r="D66" s="18">
        <v>913000</v>
      </c>
      <c r="E66" s="72">
        <f>Sheet1!G66</f>
        <v>0</v>
      </c>
      <c r="F66" s="14">
        <f t="shared" si="2"/>
        <v>0</v>
      </c>
    </row>
    <row r="67" spans="1:6" ht="27" customHeight="1">
      <c r="A67" s="86" t="s">
        <v>32</v>
      </c>
      <c r="B67" s="90" t="s">
        <v>37</v>
      </c>
      <c r="C67" s="14">
        <f>Sheet1!E67</f>
        <v>7000</v>
      </c>
      <c r="D67" s="18">
        <v>7000</v>
      </c>
      <c r="E67" s="72">
        <f>Sheet1!G67</f>
        <v>0</v>
      </c>
      <c r="F67" s="14">
        <f t="shared" si="2"/>
        <v>0</v>
      </c>
    </row>
    <row r="68" spans="1:6" ht="29.25" customHeight="1">
      <c r="A68" s="86" t="s">
        <v>32</v>
      </c>
      <c r="B68" s="90" t="s">
        <v>38</v>
      </c>
      <c r="C68" s="14">
        <f>Sheet1!E68</f>
        <v>505000</v>
      </c>
      <c r="D68" s="18">
        <v>505000</v>
      </c>
      <c r="E68" s="72">
        <f>Sheet1!G68</f>
        <v>313558</v>
      </c>
      <c r="F68" s="14">
        <f t="shared" si="2"/>
        <v>62.09069306930694</v>
      </c>
    </row>
    <row r="69" spans="1:6" ht="29.25" customHeight="1">
      <c r="A69" s="86" t="s">
        <v>32</v>
      </c>
      <c r="B69" s="90" t="s">
        <v>58</v>
      </c>
      <c r="C69" s="14">
        <f>Sheet1!E69</f>
        <v>202000</v>
      </c>
      <c r="D69" s="18">
        <v>202000</v>
      </c>
      <c r="E69" s="72">
        <f>Sheet1!G69</f>
        <v>202000</v>
      </c>
      <c r="F69" s="14">
        <f t="shared" si="2"/>
        <v>100</v>
      </c>
    </row>
    <row r="70" spans="1:6" ht="21" customHeight="1">
      <c r="A70" s="86" t="s">
        <v>32</v>
      </c>
      <c r="B70" s="90" t="s">
        <v>39</v>
      </c>
      <c r="C70" s="14">
        <f>Sheet1!E70</f>
        <v>1951000</v>
      </c>
      <c r="D70" s="18">
        <v>1951000</v>
      </c>
      <c r="E70" s="72">
        <f>Sheet1!G70</f>
        <v>542025</v>
      </c>
      <c r="F70" s="14">
        <f t="shared" si="2"/>
        <v>27.781906714505382</v>
      </c>
    </row>
    <row r="71" spans="1:6" ht="35.25" customHeight="1">
      <c r="A71" s="86" t="s">
        <v>32</v>
      </c>
      <c r="B71" s="90" t="s">
        <v>59</v>
      </c>
      <c r="C71" s="14">
        <f>Sheet1!E71</f>
        <v>22000</v>
      </c>
      <c r="D71" s="18">
        <v>22000</v>
      </c>
      <c r="E71" s="72">
        <f>Sheet1!G71</f>
        <v>0</v>
      </c>
      <c r="F71" s="14">
        <f t="shared" si="2"/>
        <v>0</v>
      </c>
    </row>
    <row r="72" spans="1:6" ht="24.75" customHeight="1">
      <c r="A72" s="86" t="s">
        <v>32</v>
      </c>
      <c r="B72" s="90" t="s">
        <v>40</v>
      </c>
      <c r="C72" s="14">
        <f>Sheet1!E72</f>
        <v>120000</v>
      </c>
      <c r="D72" s="18">
        <v>120000</v>
      </c>
      <c r="E72" s="72">
        <f>Sheet1!G72</f>
        <v>0</v>
      </c>
      <c r="F72" s="14">
        <f t="shared" si="2"/>
        <v>0</v>
      </c>
    </row>
    <row r="73" spans="1:6" ht="27" customHeight="1">
      <c r="A73" s="86" t="s">
        <v>32</v>
      </c>
      <c r="B73" s="90" t="s">
        <v>66</v>
      </c>
      <c r="C73" s="14">
        <f>Sheet1!E73</f>
        <v>188000</v>
      </c>
      <c r="D73" s="18">
        <v>188000</v>
      </c>
      <c r="E73" s="72">
        <f>Sheet1!G73</f>
        <v>0</v>
      </c>
      <c r="F73" s="14">
        <f t="shared" si="2"/>
        <v>0</v>
      </c>
    </row>
    <row r="74" spans="1:6" ht="33.75" customHeight="1">
      <c r="A74" s="86" t="s">
        <v>32</v>
      </c>
      <c r="B74" s="90" t="s">
        <v>41</v>
      </c>
      <c r="C74" s="14">
        <f>Sheet1!E74</f>
        <v>70000</v>
      </c>
      <c r="D74" s="18">
        <v>70000</v>
      </c>
      <c r="E74" s="72">
        <f>Sheet1!G74</f>
        <v>70000</v>
      </c>
      <c r="F74" s="14">
        <f t="shared" si="2"/>
        <v>100</v>
      </c>
    </row>
    <row r="75" spans="1:6" ht="42" customHeight="1">
      <c r="A75" s="86" t="s">
        <v>32</v>
      </c>
      <c r="B75" s="90" t="s">
        <v>60</v>
      </c>
      <c r="C75" s="14">
        <f>Sheet1!E75</f>
        <v>400000</v>
      </c>
      <c r="D75" s="18">
        <v>400000</v>
      </c>
      <c r="E75" s="72">
        <f>Sheet1!G75</f>
        <v>47982</v>
      </c>
      <c r="F75" s="14">
        <f t="shared" si="2"/>
        <v>11.9955</v>
      </c>
    </row>
    <row r="76" spans="1:6" ht="24" customHeight="1">
      <c r="A76" s="86" t="s">
        <v>32</v>
      </c>
      <c r="B76" s="90" t="s">
        <v>61</v>
      </c>
      <c r="C76" s="14">
        <f>Sheet1!E76</f>
        <v>53000</v>
      </c>
      <c r="D76" s="18">
        <v>53000</v>
      </c>
      <c r="E76" s="72">
        <f>Sheet1!G76</f>
        <v>6290</v>
      </c>
      <c r="F76" s="14">
        <f t="shared" si="2"/>
        <v>11.867924528301886</v>
      </c>
    </row>
    <row r="77" spans="1:6" ht="24" customHeight="1">
      <c r="A77" s="86" t="s">
        <v>32</v>
      </c>
      <c r="B77" s="90" t="s">
        <v>62</v>
      </c>
      <c r="C77" s="14">
        <f>Sheet1!E77</f>
        <v>25000</v>
      </c>
      <c r="D77" s="18">
        <v>25000</v>
      </c>
      <c r="E77" s="72">
        <f>Sheet1!G77</f>
        <v>25000</v>
      </c>
      <c r="F77" s="14">
        <f t="shared" si="2"/>
        <v>100</v>
      </c>
    </row>
    <row r="78" spans="1:6" ht="23.25" customHeight="1">
      <c r="A78" s="86" t="s">
        <v>32</v>
      </c>
      <c r="B78" s="90" t="s">
        <v>63</v>
      </c>
      <c r="C78" s="14">
        <f>Sheet1!E78</f>
        <v>80000</v>
      </c>
      <c r="D78" s="18">
        <v>80000</v>
      </c>
      <c r="E78" s="72">
        <f>Sheet1!G78</f>
        <v>80000</v>
      </c>
      <c r="F78" s="14">
        <f t="shared" si="2"/>
        <v>100</v>
      </c>
    </row>
    <row r="79" spans="1:6" ht="23.25" customHeight="1">
      <c r="A79" s="86" t="s">
        <v>32</v>
      </c>
      <c r="B79" s="90" t="s">
        <v>64</v>
      </c>
      <c r="C79" s="14">
        <f>Sheet1!E79</f>
        <v>1000000</v>
      </c>
      <c r="D79" s="18">
        <v>1000000</v>
      </c>
      <c r="E79" s="72">
        <f>Sheet1!G79</f>
        <v>0</v>
      </c>
      <c r="F79" s="14">
        <f t="shared" si="2"/>
        <v>0</v>
      </c>
    </row>
    <row r="80" spans="1:6" ht="22.5" customHeight="1">
      <c r="A80" s="86" t="s">
        <v>32</v>
      </c>
      <c r="B80" s="91" t="s">
        <v>67</v>
      </c>
      <c r="C80" s="14">
        <f>Sheet1!E80</f>
        <v>304000</v>
      </c>
      <c r="D80" s="21">
        <v>304000</v>
      </c>
      <c r="E80" s="72">
        <f>Sheet1!G80</f>
        <v>40000</v>
      </c>
      <c r="F80" s="14">
        <f t="shared" si="2"/>
        <v>13.157894736842104</v>
      </c>
    </row>
    <row r="81" spans="1:6" ht="33" customHeight="1">
      <c r="A81" s="86" t="s">
        <v>32</v>
      </c>
      <c r="B81" s="91" t="s">
        <v>68</v>
      </c>
      <c r="C81" s="14">
        <f>Sheet1!E81</f>
        <v>10000</v>
      </c>
      <c r="D81" s="21">
        <v>10000</v>
      </c>
      <c r="E81" s="72">
        <f>Sheet1!G81</f>
        <v>0</v>
      </c>
      <c r="F81" s="14">
        <f t="shared" si="2"/>
        <v>0</v>
      </c>
    </row>
    <row r="82" spans="1:6" ht="24" customHeight="1">
      <c r="A82" s="94" t="s">
        <v>32</v>
      </c>
      <c r="B82" s="91" t="s">
        <v>65</v>
      </c>
      <c r="C82" s="14">
        <f>Sheet1!E82</f>
        <v>600000</v>
      </c>
      <c r="D82" s="21">
        <v>600000</v>
      </c>
      <c r="E82" s="72">
        <f>Sheet1!G82</f>
        <v>59874</v>
      </c>
      <c r="F82" s="14">
        <f t="shared" si="2"/>
        <v>9.979000000000001</v>
      </c>
    </row>
    <row r="83" spans="1:6" ht="15">
      <c r="A83" s="94" t="s">
        <v>32</v>
      </c>
      <c r="B83" s="96" t="s">
        <v>143</v>
      </c>
      <c r="C83" s="14"/>
      <c r="D83" s="21"/>
      <c r="E83" s="72">
        <f>Sheet1!G83</f>
        <v>1200748</v>
      </c>
      <c r="F83" s="14"/>
    </row>
    <row r="84" spans="1:6" ht="15">
      <c r="A84" s="94" t="s">
        <v>32</v>
      </c>
      <c r="B84" s="96" t="s">
        <v>144</v>
      </c>
      <c r="C84" s="14"/>
      <c r="D84" s="21"/>
      <c r="E84" s="72">
        <f>Sheet1!G84</f>
        <v>543851</v>
      </c>
      <c r="F84" s="14"/>
    </row>
    <row r="85" spans="1:6" ht="15">
      <c r="A85" s="94" t="s">
        <v>32</v>
      </c>
      <c r="B85" s="96" t="s">
        <v>145</v>
      </c>
      <c r="C85" s="14"/>
      <c r="D85" s="21"/>
      <c r="E85" s="72">
        <f>Sheet1!G85</f>
        <v>0</v>
      </c>
      <c r="F85" s="14"/>
    </row>
    <row r="86" spans="1:6" ht="15">
      <c r="A86" s="94" t="s">
        <v>32</v>
      </c>
      <c r="B86" s="96" t="s">
        <v>146</v>
      </c>
      <c r="C86" s="14"/>
      <c r="D86" s="21"/>
      <c r="E86" s="72">
        <f>Sheet1!G86</f>
        <v>0</v>
      </c>
      <c r="F86" s="14"/>
    </row>
    <row r="87" spans="1:6" ht="15">
      <c r="A87" s="94" t="s">
        <v>32</v>
      </c>
      <c r="B87" s="96" t="s">
        <v>147</v>
      </c>
      <c r="C87" s="14"/>
      <c r="D87" s="21"/>
      <c r="E87" s="72">
        <f>Sheet1!G87</f>
        <v>0</v>
      </c>
      <c r="F87" s="14"/>
    </row>
    <row r="88" spans="1:6" ht="15">
      <c r="A88" s="94" t="s">
        <v>32</v>
      </c>
      <c r="B88" s="96" t="s">
        <v>148</v>
      </c>
      <c r="C88" s="14"/>
      <c r="D88" s="21"/>
      <c r="E88" s="72">
        <f>Sheet1!G88</f>
        <v>8788390</v>
      </c>
      <c r="F88" s="14"/>
    </row>
    <row r="89" spans="1:6" ht="15">
      <c r="A89" s="94" t="s">
        <v>32</v>
      </c>
      <c r="B89" s="96" t="s">
        <v>149</v>
      </c>
      <c r="C89" s="14"/>
      <c r="D89" s="21"/>
      <c r="E89" s="72">
        <f>Sheet1!G89</f>
        <v>0</v>
      </c>
      <c r="F89" s="14"/>
    </row>
    <row r="90" spans="1:6" ht="15">
      <c r="A90" s="94" t="s">
        <v>32</v>
      </c>
      <c r="B90" s="96" t="s">
        <v>150</v>
      </c>
      <c r="C90" s="14"/>
      <c r="D90" s="21"/>
      <c r="E90" s="72">
        <f>Sheet1!G90</f>
        <v>0</v>
      </c>
      <c r="F90" s="14"/>
    </row>
    <row r="91" spans="1:6" ht="15">
      <c r="A91" s="99" t="s">
        <v>32</v>
      </c>
      <c r="B91" s="100" t="s">
        <v>151</v>
      </c>
      <c r="C91" s="105"/>
      <c r="D91" s="105"/>
      <c r="E91" s="106">
        <f>Sheet1!G91</f>
        <v>464010</v>
      </c>
      <c r="F91" s="105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60" customWidth="1"/>
    <col min="2" max="2" width="33.00390625" style="160" customWidth="1"/>
    <col min="3" max="3" width="16.375" style="160" hidden="1" customWidth="1"/>
    <col min="4" max="4" width="15.25390625" style="160" hidden="1" customWidth="1"/>
    <col min="5" max="5" width="17.125" style="160" customWidth="1"/>
    <col min="6" max="6" width="2.375" style="160" hidden="1" customWidth="1"/>
    <col min="7" max="7" width="17.50390625" style="160" customWidth="1"/>
    <col min="8" max="8" width="11.00390625" style="160" customWidth="1"/>
    <col min="9" max="9" width="28.375" style="160" hidden="1" customWidth="1"/>
    <col min="10" max="10" width="18.125" style="160" hidden="1" customWidth="1"/>
    <col min="11" max="11" width="17.875" style="160" hidden="1" customWidth="1"/>
    <col min="12" max="12" width="19.625" style="160" hidden="1" customWidth="1"/>
    <col min="13" max="13" width="17.00390625" style="160" hidden="1" customWidth="1"/>
    <col min="14" max="19" width="9.125" style="160" hidden="1" customWidth="1"/>
    <col min="20" max="20" width="2.375" style="160" customWidth="1"/>
    <col min="21" max="23" width="9.125" style="160" customWidth="1"/>
    <col min="24" max="16384" width="9.125" style="160" customWidth="1"/>
  </cols>
  <sheetData>
    <row r="1" spans="1:9" s="54" customFormat="1" ht="27" customHeight="1">
      <c r="A1" s="30" t="s">
        <v>56</v>
      </c>
      <c r="B1" s="31"/>
      <c r="C1" s="31"/>
      <c r="D1" s="31"/>
      <c r="E1" s="469" t="s">
        <v>102</v>
      </c>
      <c r="F1" s="469"/>
      <c r="G1" s="469"/>
      <c r="H1" s="469"/>
      <c r="I1" s="158"/>
    </row>
    <row r="2" spans="1:9" s="54" customFormat="1" ht="39" customHeight="1">
      <c r="A2" s="470" t="s">
        <v>154</v>
      </c>
      <c r="B2" s="470"/>
      <c r="C2" s="470"/>
      <c r="D2" s="470"/>
      <c r="E2" s="470"/>
      <c r="F2" s="470"/>
      <c r="G2" s="470"/>
      <c r="H2" s="470"/>
      <c r="I2" s="158"/>
    </row>
    <row r="3" spans="1:9" s="54" customFormat="1" ht="45" customHeight="1">
      <c r="A3" s="492" t="s">
        <v>250</v>
      </c>
      <c r="B3" s="492"/>
      <c r="C3" s="492"/>
      <c r="D3" s="492"/>
      <c r="E3" s="492"/>
      <c r="F3" s="492"/>
      <c r="G3" s="492"/>
      <c r="H3" s="492"/>
      <c r="I3" s="159"/>
    </row>
    <row r="4" spans="1:11" ht="19.5" customHeight="1">
      <c r="A4" s="108"/>
      <c r="B4" s="108"/>
      <c r="C4" s="108"/>
      <c r="D4" s="108"/>
      <c r="E4" s="493" t="s">
        <v>155</v>
      </c>
      <c r="F4" s="493"/>
      <c r="G4" s="493"/>
      <c r="H4" s="493"/>
      <c r="I4" s="109"/>
      <c r="K4" s="179">
        <f>G11+G35+G51+G102</f>
        <v>15747104000</v>
      </c>
    </row>
    <row r="5" spans="1:11" s="107" customFormat="1" ht="24.75" customHeight="1">
      <c r="A5" s="494" t="s">
        <v>0</v>
      </c>
      <c r="B5" s="494" t="s">
        <v>6</v>
      </c>
      <c r="C5" s="486" t="s">
        <v>249</v>
      </c>
      <c r="D5" s="487"/>
      <c r="E5" s="473" t="s">
        <v>249</v>
      </c>
      <c r="F5" s="474"/>
      <c r="G5" s="482" t="s">
        <v>248</v>
      </c>
      <c r="H5" s="479" t="s">
        <v>114</v>
      </c>
      <c r="I5" s="111"/>
      <c r="K5" s="112">
        <v>421648000000</v>
      </c>
    </row>
    <row r="6" spans="1:11" s="107" customFormat="1" ht="29.25" customHeight="1">
      <c r="A6" s="494"/>
      <c r="B6" s="494"/>
      <c r="C6" s="488"/>
      <c r="D6" s="489"/>
      <c r="E6" s="475"/>
      <c r="F6" s="476"/>
      <c r="G6" s="483"/>
      <c r="H6" s="480"/>
      <c r="I6" s="111"/>
      <c r="K6" s="110" t="s">
        <v>156</v>
      </c>
    </row>
    <row r="7" spans="1:13" s="107" customFormat="1" ht="37.5" customHeight="1">
      <c r="A7" s="494"/>
      <c r="B7" s="494"/>
      <c r="C7" s="490"/>
      <c r="D7" s="491"/>
      <c r="E7" s="477"/>
      <c r="F7" s="478"/>
      <c r="G7" s="484"/>
      <c r="H7" s="481"/>
      <c r="I7" s="111"/>
      <c r="K7" s="110">
        <f>L7+M7</f>
        <v>100918572617</v>
      </c>
      <c r="L7" s="113">
        <v>84183915352</v>
      </c>
      <c r="M7" s="113">
        <v>16734657265</v>
      </c>
    </row>
    <row r="8" spans="1:11" ht="14.25">
      <c r="A8" s="180" t="s">
        <v>7</v>
      </c>
      <c r="B8" s="180" t="s">
        <v>8</v>
      </c>
      <c r="C8" s="180">
        <v>1</v>
      </c>
      <c r="D8" s="180">
        <v>2</v>
      </c>
      <c r="E8" s="180">
        <v>3</v>
      </c>
      <c r="F8" s="180">
        <v>4</v>
      </c>
      <c r="G8" s="180">
        <v>5</v>
      </c>
      <c r="H8" s="180" t="s">
        <v>51</v>
      </c>
      <c r="I8" s="114"/>
      <c r="J8" s="160">
        <f>G9/E9*100</f>
        <v>17.732574930510758</v>
      </c>
      <c r="K8" s="115">
        <v>26149525074</v>
      </c>
    </row>
    <row r="9" spans="1:13" ht="20.25" customHeight="1">
      <c r="A9" s="116"/>
      <c r="B9" s="117" t="s">
        <v>9</v>
      </c>
      <c r="C9" s="118">
        <f>C10+C32</f>
        <v>572258791456</v>
      </c>
      <c r="D9" s="118">
        <f>D10+D32</f>
        <v>57395929456</v>
      </c>
      <c r="E9" s="118">
        <f>E10+E32</f>
        <v>421648000000</v>
      </c>
      <c r="F9" s="118">
        <f>F10+F32</f>
        <v>93214862000</v>
      </c>
      <c r="G9" s="118">
        <f>G10+G32</f>
        <v>74769047543</v>
      </c>
      <c r="H9" s="119">
        <f aca="true" t="shared" si="0" ref="H9:H14">G9/C9*100</f>
        <v>13.065600504409003</v>
      </c>
      <c r="I9" s="120" t="s">
        <v>157</v>
      </c>
      <c r="J9" s="179">
        <f>E9+F9</f>
        <v>514862862000</v>
      </c>
      <c r="K9" s="181">
        <f>K7-K8</f>
        <v>74769047543</v>
      </c>
      <c r="M9" s="179">
        <f>G9-K9</f>
        <v>0</v>
      </c>
    </row>
    <row r="10" spans="1:9" ht="14.25">
      <c r="A10" s="121" t="s">
        <v>7</v>
      </c>
      <c r="B10" s="122" t="s">
        <v>10</v>
      </c>
      <c r="C10" s="123">
        <f>C11+C16+C31</f>
        <v>366153782695</v>
      </c>
      <c r="D10" s="123">
        <f>D11+D16+D31</f>
        <v>6681782695</v>
      </c>
      <c r="E10" s="123">
        <f>E11+E16+E31</f>
        <v>359472000000</v>
      </c>
      <c r="F10" s="123">
        <f>F11+F16+F31</f>
        <v>0</v>
      </c>
      <c r="G10" s="123">
        <f>G11+G16+G31</f>
        <v>61593770484</v>
      </c>
      <c r="H10" s="119">
        <f t="shared" si="0"/>
        <v>16.821830988786093</v>
      </c>
      <c r="I10" s="120"/>
    </row>
    <row r="11" spans="1:11" ht="23.25" customHeight="1">
      <c r="A11" s="121" t="s">
        <v>3</v>
      </c>
      <c r="B11" s="122" t="s">
        <v>11</v>
      </c>
      <c r="C11" s="123">
        <f>SUM(C12:C14)</f>
        <v>23691707000</v>
      </c>
      <c r="D11" s="123">
        <f>SUM(D12:D14)</f>
        <v>2750000000</v>
      </c>
      <c r="E11" s="123">
        <f>SUM(E12:E14)</f>
        <v>20941707000</v>
      </c>
      <c r="F11" s="123"/>
      <c r="G11" s="123">
        <f>K11-G35-G51-G102</f>
        <v>3080241000</v>
      </c>
      <c r="H11" s="119">
        <f t="shared" si="0"/>
        <v>13.001346842589264</v>
      </c>
      <c r="I11" s="120">
        <f>G11+G35+G51+G102</f>
        <v>15747104000</v>
      </c>
      <c r="K11" s="123">
        <f>13621104000+2126000000</f>
        <v>15747104000</v>
      </c>
    </row>
    <row r="12" spans="1:9" ht="29.25" customHeight="1">
      <c r="A12" s="124">
        <v>1</v>
      </c>
      <c r="B12" s="125" t="s">
        <v>45</v>
      </c>
      <c r="C12" s="126">
        <f>SUM(D12:F12)</f>
        <v>10800000000</v>
      </c>
      <c r="D12" s="126"/>
      <c r="E12" s="126">
        <v>10800000000</v>
      </c>
      <c r="F12" s="126"/>
      <c r="G12" s="126">
        <v>607241000</v>
      </c>
      <c r="H12" s="119">
        <f t="shared" si="0"/>
        <v>5.622601851851852</v>
      </c>
      <c r="I12" s="120"/>
    </row>
    <row r="13" spans="1:10" ht="14.25">
      <c r="A13" s="124">
        <v>2</v>
      </c>
      <c r="B13" s="125" t="s">
        <v>47</v>
      </c>
      <c r="C13" s="126">
        <f>SUM(D13:F13)</f>
        <v>5653000000</v>
      </c>
      <c r="D13" s="126">
        <v>253000000</v>
      </c>
      <c r="E13" s="126">
        <f>2400000000+3000000000</f>
        <v>5400000000</v>
      </c>
      <c r="F13" s="126"/>
      <c r="G13" s="126">
        <v>500000000</v>
      </c>
      <c r="H13" s="119">
        <f t="shared" si="0"/>
        <v>8.84486113568017</v>
      </c>
      <c r="I13" s="120"/>
      <c r="J13" s="179">
        <f>G11-G12-G13</f>
        <v>1973000000</v>
      </c>
    </row>
    <row r="14" spans="1:14" ht="25.5">
      <c r="A14" s="124">
        <v>3</v>
      </c>
      <c r="B14" s="125" t="s">
        <v>158</v>
      </c>
      <c r="C14" s="126">
        <f>SUM(D14:F14)</f>
        <v>7238707000</v>
      </c>
      <c r="D14" s="126">
        <v>2497000000</v>
      </c>
      <c r="E14" s="127">
        <v>4741707000</v>
      </c>
      <c r="F14" s="126"/>
      <c r="G14" s="127">
        <v>1973000000</v>
      </c>
      <c r="H14" s="119">
        <f t="shared" si="0"/>
        <v>27.25624894059119</v>
      </c>
      <c r="I14" s="120"/>
      <c r="L14" s="179">
        <f>K11+K15</f>
        <v>74469047543</v>
      </c>
      <c r="M14" s="179">
        <f>K9-L14</f>
        <v>300000000</v>
      </c>
      <c r="N14" s="160" t="s">
        <v>159</v>
      </c>
    </row>
    <row r="15" spans="1:12" ht="15" hidden="1">
      <c r="A15" s="124"/>
      <c r="B15" s="125"/>
      <c r="C15" s="128"/>
      <c r="D15" s="126"/>
      <c r="E15" s="128"/>
      <c r="F15" s="126"/>
      <c r="G15" s="126"/>
      <c r="H15" s="167"/>
      <c r="I15" s="129"/>
      <c r="K15" s="181">
        <f>K16+L16+M16</f>
        <v>58721943543</v>
      </c>
      <c r="L15" s="179">
        <f>K15+G35</f>
        <v>68634806543</v>
      </c>
    </row>
    <row r="16" spans="1:13" ht="27.75" customHeight="1">
      <c r="A16" s="121" t="s">
        <v>5</v>
      </c>
      <c r="B16" s="122" t="s">
        <v>4</v>
      </c>
      <c r="C16" s="130">
        <f>SUM(C17:C30)</f>
        <v>335149075695</v>
      </c>
      <c r="D16" s="130">
        <f>SUM(D17:D30)</f>
        <v>3931782695</v>
      </c>
      <c r="E16" s="130">
        <f>SUM(E17:E30)</f>
        <v>331217293000</v>
      </c>
      <c r="F16" s="130">
        <f>SUM(F17:F30)</f>
        <v>0</v>
      </c>
      <c r="G16" s="130">
        <f>SUM(G17:G30)</f>
        <v>58485979484</v>
      </c>
      <c r="H16" s="119">
        <f>G16/C16*100</f>
        <v>17.450735724906114</v>
      </c>
      <c r="I16" s="120">
        <f>G16+G31+G38+G52+G107</f>
        <v>59021943543</v>
      </c>
      <c r="J16" s="179">
        <f>+G31+G16+G38+G107-L16-M16-K16</f>
        <v>300000000</v>
      </c>
      <c r="K16" s="165">
        <v>43365417278</v>
      </c>
      <c r="L16" s="165">
        <v>14585722265</v>
      </c>
      <c r="M16" s="179">
        <f>747869000+22935000</f>
        <v>770804000</v>
      </c>
    </row>
    <row r="17" spans="1:12" ht="14.25">
      <c r="A17" s="124">
        <v>1</v>
      </c>
      <c r="B17" s="131" t="s">
        <v>12</v>
      </c>
      <c r="C17" s="126">
        <f>SUM(D17:F17)</f>
        <v>19737682470</v>
      </c>
      <c r="D17" s="132">
        <f>627749000+498193000+185600000+34300000+2009840470</f>
        <v>3355682470</v>
      </c>
      <c r="E17" s="126">
        <f>17691000000-E109</f>
        <v>16382000000</v>
      </c>
      <c r="F17" s="133"/>
      <c r="G17" s="134">
        <f>918967565+268697000-G109-G42-27550000-34285000+32669047</f>
        <v>1143961553</v>
      </c>
      <c r="H17" s="119">
        <f>G17/C17*100</f>
        <v>5.795825091110609</v>
      </c>
      <c r="I17" s="120"/>
      <c r="J17" s="179">
        <f>K9-G9</f>
        <v>0</v>
      </c>
      <c r="K17" s="126">
        <v>17691000</v>
      </c>
      <c r="L17" s="135" t="s">
        <v>160</v>
      </c>
    </row>
    <row r="18" spans="1:12" ht="14.25">
      <c r="A18" s="124">
        <v>2</v>
      </c>
      <c r="B18" s="131" t="s">
        <v>13</v>
      </c>
      <c r="C18" s="126">
        <f aca="true" t="shared" si="1" ref="C18:C30">SUM(D18:F18)</f>
        <v>186763905429</v>
      </c>
      <c r="D18" s="132">
        <v>12905429</v>
      </c>
      <c r="E18" s="126">
        <v>186751000000</v>
      </c>
      <c r="F18" s="133"/>
      <c r="G18" s="133">
        <v>33284356858</v>
      </c>
      <c r="H18" s="119">
        <f>G18/C18*100</f>
        <v>17.82162178582914</v>
      </c>
      <c r="I18" s="120"/>
      <c r="J18" s="179">
        <f>G16+G38++G52+G107</f>
        <v>58994393543</v>
      </c>
      <c r="K18" s="126">
        <v>400000</v>
      </c>
      <c r="L18" s="135" t="s">
        <v>161</v>
      </c>
    </row>
    <row r="19" spans="1:12" ht="14.25">
      <c r="A19" s="124">
        <v>3</v>
      </c>
      <c r="B19" s="131" t="s">
        <v>14</v>
      </c>
      <c r="C19" s="126">
        <f t="shared" si="1"/>
        <v>0</v>
      </c>
      <c r="D19" s="133"/>
      <c r="E19" s="126"/>
      <c r="F19" s="133"/>
      <c r="G19" s="133"/>
      <c r="H19" s="168"/>
      <c r="I19" s="136"/>
      <c r="K19" s="126">
        <v>99208970</v>
      </c>
      <c r="L19" s="135" t="s">
        <v>21</v>
      </c>
    </row>
    <row r="20" spans="1:12" ht="14.25">
      <c r="A20" s="124">
        <v>4</v>
      </c>
      <c r="B20" s="131" t="s">
        <v>162</v>
      </c>
      <c r="C20" s="126">
        <f t="shared" si="1"/>
        <v>0</v>
      </c>
      <c r="D20" s="133"/>
      <c r="E20" s="126"/>
      <c r="F20" s="133"/>
      <c r="G20" s="133"/>
      <c r="H20" s="119"/>
      <c r="I20" s="120"/>
      <c r="J20" s="179">
        <f>J18-K15</f>
        <v>272450000</v>
      </c>
      <c r="K20" s="126">
        <v>186751000</v>
      </c>
      <c r="L20" s="135" t="s">
        <v>163</v>
      </c>
    </row>
    <row r="21" spans="1:12" ht="14.25">
      <c r="A21" s="124">
        <v>5</v>
      </c>
      <c r="B21" s="131" t="s">
        <v>16</v>
      </c>
      <c r="C21" s="126">
        <f t="shared" si="1"/>
        <v>400000000</v>
      </c>
      <c r="D21" s="133"/>
      <c r="E21" s="126">
        <v>400000000</v>
      </c>
      <c r="F21" s="133"/>
      <c r="G21" s="133"/>
      <c r="H21" s="119">
        <f aca="true" t="shared" si="2" ref="H21:H28">G21/C21*100</f>
        <v>0</v>
      </c>
      <c r="I21" s="120"/>
      <c r="K21" s="126">
        <v>1831961</v>
      </c>
      <c r="L21" s="135" t="s">
        <v>164</v>
      </c>
    </row>
    <row r="22" spans="1:12" ht="14.25">
      <c r="A22" s="124">
        <v>6</v>
      </c>
      <c r="B22" s="131" t="s">
        <v>17</v>
      </c>
      <c r="C22" s="126">
        <f t="shared" si="1"/>
        <v>1831961000</v>
      </c>
      <c r="D22" s="133"/>
      <c r="E22" s="126">
        <v>1831961000</v>
      </c>
      <c r="F22" s="133"/>
      <c r="G22" s="133">
        <f>123344302+40209000</f>
        <v>163553302</v>
      </c>
      <c r="H22" s="119">
        <f t="shared" si="2"/>
        <v>8.927772043182141</v>
      </c>
      <c r="I22" s="120"/>
      <c r="K22" s="126">
        <v>190000</v>
      </c>
      <c r="L22" s="135" t="s">
        <v>165</v>
      </c>
    </row>
    <row r="23" spans="1:12" ht="14.25">
      <c r="A23" s="124">
        <v>7</v>
      </c>
      <c r="B23" s="131" t="s">
        <v>18</v>
      </c>
      <c r="C23" s="126">
        <f t="shared" si="1"/>
        <v>190000000</v>
      </c>
      <c r="D23" s="133"/>
      <c r="E23" s="126">
        <v>190000000</v>
      </c>
      <c r="F23" s="133"/>
      <c r="G23" s="133">
        <v>7710000</v>
      </c>
      <c r="H23" s="119">
        <f t="shared" si="2"/>
        <v>4.057894736842106</v>
      </c>
      <c r="I23" s="120"/>
      <c r="K23" s="126">
        <v>1234433</v>
      </c>
      <c r="L23" s="135" t="s">
        <v>166</v>
      </c>
    </row>
    <row r="24" spans="1:12" ht="14.25">
      <c r="A24" s="124">
        <v>8</v>
      </c>
      <c r="B24" s="131" t="s">
        <v>19</v>
      </c>
      <c r="C24" s="126">
        <f t="shared" si="1"/>
        <v>1234433000</v>
      </c>
      <c r="D24" s="133"/>
      <c r="E24" s="126">
        <v>1234433000</v>
      </c>
      <c r="F24" s="133"/>
      <c r="G24" s="133">
        <f>200663361+20079650</f>
        <v>220743011</v>
      </c>
      <c r="H24" s="119">
        <f t="shared" si="2"/>
        <v>17.882137872205295</v>
      </c>
      <c r="I24" s="120"/>
      <c r="K24" s="126">
        <v>13729653</v>
      </c>
      <c r="L24" s="135" t="s">
        <v>167</v>
      </c>
    </row>
    <row r="25" spans="1:12" ht="14.25">
      <c r="A25" s="124">
        <v>9</v>
      </c>
      <c r="B25" s="131" t="s">
        <v>20</v>
      </c>
      <c r="C25" s="126">
        <f t="shared" si="1"/>
        <v>13659653000</v>
      </c>
      <c r="D25" s="133"/>
      <c r="E25" s="126">
        <f>13729653000-E110</f>
        <v>13659653000</v>
      </c>
      <c r="F25" s="133"/>
      <c r="G25" s="133">
        <f>2128931500+248430675</f>
        <v>2377362175</v>
      </c>
      <c r="H25" s="119">
        <f t="shared" si="2"/>
        <v>17.404264771586803</v>
      </c>
      <c r="I25" s="120"/>
      <c r="K25" s="126">
        <v>3354801</v>
      </c>
      <c r="L25" s="135" t="s">
        <v>168</v>
      </c>
    </row>
    <row r="26" spans="1:12" ht="14.25">
      <c r="A26" s="124">
        <v>10</v>
      </c>
      <c r="B26" s="131" t="s">
        <v>21</v>
      </c>
      <c r="C26" s="126">
        <f t="shared" si="1"/>
        <v>99772164796</v>
      </c>
      <c r="D26" s="133">
        <f>39030000+524164796</f>
        <v>563194796</v>
      </c>
      <c r="E26" s="126">
        <v>99208970000</v>
      </c>
      <c r="F26" s="133"/>
      <c r="G26" s="133">
        <f>5676484645+12140190760-G112-G114</f>
        <v>17357083405</v>
      </c>
      <c r="H26" s="119">
        <f t="shared" si="2"/>
        <v>17.396719255805774</v>
      </c>
      <c r="I26" s="120"/>
      <c r="K26" s="126">
        <v>8284475</v>
      </c>
      <c r="L26" s="135" t="s">
        <v>169</v>
      </c>
    </row>
    <row r="27" spans="1:12" ht="14.25">
      <c r="A27" s="124">
        <v>11</v>
      </c>
      <c r="B27" s="137" t="s">
        <v>22</v>
      </c>
      <c r="C27" s="126">
        <f t="shared" si="1"/>
        <v>3274801000</v>
      </c>
      <c r="D27" s="133"/>
      <c r="E27" s="126">
        <f>3354801000-E108</f>
        <v>3274801000</v>
      </c>
      <c r="F27" s="133"/>
      <c r="G27" s="133">
        <v>814367022</v>
      </c>
      <c r="H27" s="119">
        <f t="shared" si="2"/>
        <v>24.867679654427857</v>
      </c>
      <c r="I27" s="120"/>
      <c r="K27" s="126"/>
      <c r="L27" s="135" t="s">
        <v>170</v>
      </c>
    </row>
    <row r="28" spans="1:12" ht="14.25">
      <c r="A28" s="124">
        <v>12</v>
      </c>
      <c r="B28" s="138" t="s">
        <v>23</v>
      </c>
      <c r="C28" s="126">
        <f t="shared" si="1"/>
        <v>8284475000</v>
      </c>
      <c r="D28" s="133"/>
      <c r="E28" s="126">
        <v>8284475000</v>
      </c>
      <c r="F28" s="133"/>
      <c r="G28" s="133">
        <f>900000000+1046038158</f>
        <v>1946038158</v>
      </c>
      <c r="H28" s="119">
        <f t="shared" si="2"/>
        <v>23.490180826183916</v>
      </c>
      <c r="I28" s="120"/>
      <c r="K28" s="126">
        <v>3000000</v>
      </c>
      <c r="L28" s="135" t="s">
        <v>171</v>
      </c>
    </row>
    <row r="29" spans="1:12" ht="14.25">
      <c r="A29" s="124">
        <v>13</v>
      </c>
      <c r="B29" s="138" t="s">
        <v>172</v>
      </c>
      <c r="C29" s="126">
        <f t="shared" si="1"/>
        <v>0</v>
      </c>
      <c r="D29" s="133"/>
      <c r="E29" s="126"/>
      <c r="F29" s="133"/>
      <c r="G29" s="133">
        <v>100000000</v>
      </c>
      <c r="H29" s="119"/>
      <c r="I29" s="120"/>
      <c r="K29" s="128"/>
      <c r="L29" s="139"/>
    </row>
    <row r="30" spans="1:9" ht="14.25">
      <c r="A30" s="124">
        <v>14</v>
      </c>
      <c r="B30" s="138" t="s">
        <v>173</v>
      </c>
      <c r="C30" s="126">
        <f t="shared" si="1"/>
        <v>0</v>
      </c>
      <c r="D30" s="133"/>
      <c r="E30" s="126"/>
      <c r="F30" s="133"/>
      <c r="G30" s="133">
        <f>747869000+22935000+300000000</f>
        <v>1070804000</v>
      </c>
      <c r="H30" s="119"/>
      <c r="I30" s="120"/>
    </row>
    <row r="31" spans="1:9" ht="24.75" customHeight="1">
      <c r="A31" s="121" t="s">
        <v>24</v>
      </c>
      <c r="B31" s="122" t="s">
        <v>25</v>
      </c>
      <c r="C31" s="123">
        <f>SUM(D31:F31)</f>
        <v>7313000000</v>
      </c>
      <c r="D31" s="123"/>
      <c r="E31" s="123">
        <v>7313000000</v>
      </c>
      <c r="F31" s="123"/>
      <c r="G31" s="123">
        <v>27550000</v>
      </c>
      <c r="H31" s="119">
        <f aca="true" t="shared" si="3" ref="H31:H41">G31/C31*100</f>
        <v>0.3767263776835772</v>
      </c>
      <c r="I31" s="120"/>
    </row>
    <row r="32" spans="1:9" ht="47.25" customHeight="1">
      <c r="A32" s="121" t="s">
        <v>8</v>
      </c>
      <c r="B32" s="122" t="s">
        <v>48</v>
      </c>
      <c r="C32" s="123">
        <f>C33+C101</f>
        <v>206105008761</v>
      </c>
      <c r="D32" s="123">
        <f>D33+D101</f>
        <v>50714146761</v>
      </c>
      <c r="E32" s="123">
        <f>E33+E101</f>
        <v>62176000000</v>
      </c>
      <c r="F32" s="123">
        <f>F33+F101</f>
        <v>93214862000</v>
      </c>
      <c r="G32" s="123">
        <f>G33+G101</f>
        <v>13175277059</v>
      </c>
      <c r="H32" s="119">
        <f t="shared" si="3"/>
        <v>6.392506974092072</v>
      </c>
      <c r="I32" s="120"/>
    </row>
    <row r="33" spans="1:20" ht="21.75" customHeight="1">
      <c r="A33" s="121" t="s">
        <v>3</v>
      </c>
      <c r="B33" s="122" t="s">
        <v>26</v>
      </c>
      <c r="C33" s="123">
        <f>C34+C50</f>
        <v>184228897761</v>
      </c>
      <c r="D33" s="123">
        <f>D34+D50</f>
        <v>31855897761</v>
      </c>
      <c r="E33" s="123">
        <f>E34+E50</f>
        <v>60717000000</v>
      </c>
      <c r="F33" s="123">
        <f>F34+F50</f>
        <v>91656000000</v>
      </c>
      <c r="G33" s="123">
        <f>G34+G50</f>
        <v>12146243000</v>
      </c>
      <c r="H33" s="119">
        <f t="shared" si="3"/>
        <v>6.593017245186643</v>
      </c>
      <c r="I33" s="120"/>
      <c r="J33" s="179">
        <f>E33+F33</f>
        <v>152373000000</v>
      </c>
      <c r="T33" s="165">
        <v>31855897761</v>
      </c>
    </row>
    <row r="34" spans="1:20" ht="21" customHeight="1">
      <c r="A34" s="124">
        <v>1</v>
      </c>
      <c r="B34" s="125" t="s">
        <v>53</v>
      </c>
      <c r="C34" s="123">
        <f>C35+C38</f>
        <v>123275178385</v>
      </c>
      <c r="D34" s="123">
        <f>D35+D38</f>
        <v>25467178385</v>
      </c>
      <c r="E34" s="123">
        <f>E35+E38</f>
        <v>14888000000</v>
      </c>
      <c r="F34" s="123">
        <f>F35+F38</f>
        <v>82920000000</v>
      </c>
      <c r="G34" s="123">
        <f>G35+G38</f>
        <v>9916243000</v>
      </c>
      <c r="H34" s="119">
        <f t="shared" si="3"/>
        <v>8.043989982339054</v>
      </c>
      <c r="I34" s="120"/>
      <c r="T34" s="165"/>
    </row>
    <row r="35" spans="1:20" ht="22.5" customHeight="1">
      <c r="A35" s="124" t="s">
        <v>27</v>
      </c>
      <c r="B35" s="125" t="s">
        <v>28</v>
      </c>
      <c r="C35" s="126">
        <f>C36+C37</f>
        <v>110454178385</v>
      </c>
      <c r="D35" s="126">
        <f>D36+D37</f>
        <v>25467178385</v>
      </c>
      <c r="E35" s="126">
        <f>E36+E37</f>
        <v>6081000000</v>
      </c>
      <c r="F35" s="126">
        <f>F36+F37</f>
        <v>78906000000</v>
      </c>
      <c r="G35" s="126">
        <f>G36+G37</f>
        <v>9912863000</v>
      </c>
      <c r="H35" s="119">
        <f t="shared" si="3"/>
        <v>8.974638302453025</v>
      </c>
      <c r="I35" s="120"/>
      <c r="T35" s="179">
        <f>G35+G50</f>
        <v>12142863000</v>
      </c>
    </row>
    <row r="36" spans="1:20" ht="22.5" customHeight="1">
      <c r="A36" s="124" t="s">
        <v>32</v>
      </c>
      <c r="B36" s="140" t="s">
        <v>70</v>
      </c>
      <c r="C36" s="126">
        <f>SUM(D36:F36)</f>
        <v>12303268385</v>
      </c>
      <c r="D36" s="126">
        <f>5098078000+1124190385</f>
        <v>6222268385</v>
      </c>
      <c r="E36" s="126">
        <v>6081000000</v>
      </c>
      <c r="F36" s="126"/>
      <c r="G36" s="126">
        <f>2737190000+420000000</f>
        <v>3157190000</v>
      </c>
      <c r="H36" s="119">
        <f t="shared" si="3"/>
        <v>25.661392576375956</v>
      </c>
      <c r="I36" s="120"/>
      <c r="T36" s="179">
        <f>E34+E50</f>
        <v>60717000000</v>
      </c>
    </row>
    <row r="37" spans="1:9" ht="22.5" customHeight="1">
      <c r="A37" s="124" t="s">
        <v>32</v>
      </c>
      <c r="B37" s="141" t="s">
        <v>69</v>
      </c>
      <c r="C37" s="126">
        <f>SUM(D37:F37)</f>
        <v>98150910000</v>
      </c>
      <c r="D37" s="126">
        <v>19244910000</v>
      </c>
      <c r="E37" s="126"/>
      <c r="F37" s="126">
        <v>78906000000</v>
      </c>
      <c r="G37" s="126">
        <v>6755673000</v>
      </c>
      <c r="H37" s="119">
        <f t="shared" si="3"/>
        <v>6.882944844831291</v>
      </c>
      <c r="I37" s="120"/>
    </row>
    <row r="38" spans="1:9" ht="32.25" customHeight="1">
      <c r="A38" s="124" t="s">
        <v>30</v>
      </c>
      <c r="B38" s="125" t="s">
        <v>44</v>
      </c>
      <c r="C38" s="123">
        <f>C39+C43</f>
        <v>12821000000</v>
      </c>
      <c r="D38" s="123">
        <f>D39+D43</f>
        <v>0</v>
      </c>
      <c r="E38" s="123">
        <f>E39+E43</f>
        <v>8807000000</v>
      </c>
      <c r="F38" s="123">
        <f>F39+F43</f>
        <v>4014000000</v>
      </c>
      <c r="G38" s="123">
        <f>G39+G43</f>
        <v>3380000</v>
      </c>
      <c r="H38" s="119">
        <f t="shared" si="3"/>
        <v>0.026362998206068168</v>
      </c>
      <c r="I38" s="120"/>
    </row>
    <row r="39" spans="1:9" ht="32.25" customHeight="1">
      <c r="A39" s="142" t="s">
        <v>174</v>
      </c>
      <c r="B39" s="143" t="s">
        <v>70</v>
      </c>
      <c r="C39" s="123">
        <f>SUM(C40:C42)</f>
        <v>4014000000</v>
      </c>
      <c r="D39" s="123">
        <f>SUM(D40:D42)</f>
        <v>0</v>
      </c>
      <c r="E39" s="123">
        <f>SUM(E40:E42)</f>
        <v>0</v>
      </c>
      <c r="F39" s="123">
        <f>SUM(F40:F42)</f>
        <v>4014000000</v>
      </c>
      <c r="G39" s="123">
        <f>SUM(G40:G42)</f>
        <v>3380000</v>
      </c>
      <c r="H39" s="119">
        <f t="shared" si="3"/>
        <v>0.08420528151469855</v>
      </c>
      <c r="I39" s="120"/>
    </row>
    <row r="40" spans="1:9" ht="14.25">
      <c r="A40" s="169" t="s">
        <v>43</v>
      </c>
      <c r="B40" s="182" t="s">
        <v>176</v>
      </c>
      <c r="C40" s="126">
        <f>SUM(D40:F40)</f>
        <v>849000000</v>
      </c>
      <c r="D40" s="126"/>
      <c r="E40" s="126">
        <f>'[1]Biểu số 02'!E13</f>
        <v>0</v>
      </c>
      <c r="F40" s="126">
        <f>'[1]Biểu số 02'!F13</f>
        <v>849000000</v>
      </c>
      <c r="G40" s="126">
        <f>'[1]Biểu số 02'!K13</f>
        <v>0</v>
      </c>
      <c r="H40" s="119">
        <f t="shared" si="3"/>
        <v>0</v>
      </c>
      <c r="I40" s="120"/>
    </row>
    <row r="41" spans="1:9" ht="32.25" customHeight="1">
      <c r="A41" s="169" t="s">
        <v>43</v>
      </c>
      <c r="B41" s="144" t="s">
        <v>177</v>
      </c>
      <c r="C41" s="126">
        <f aca="true" t="shared" si="4" ref="C41:C100">SUM(D41:F41)</f>
        <v>2500000000</v>
      </c>
      <c r="D41" s="126"/>
      <c r="E41" s="126"/>
      <c r="F41" s="126">
        <f>'[1]Biểu số 02'!F29</f>
        <v>2500000000</v>
      </c>
      <c r="G41" s="126">
        <f>'[1]Biểu số 02'!K29</f>
        <v>0</v>
      </c>
      <c r="H41" s="119">
        <f t="shared" si="3"/>
        <v>0</v>
      </c>
      <c r="I41" s="120"/>
    </row>
    <row r="42" spans="1:9" ht="32.25" customHeight="1">
      <c r="A42" s="169" t="s">
        <v>43</v>
      </c>
      <c r="B42" s="144" t="s">
        <v>178</v>
      </c>
      <c r="C42" s="126">
        <f>SUM(D42:F42)</f>
        <v>665000000</v>
      </c>
      <c r="D42" s="126"/>
      <c r="E42" s="126"/>
      <c r="F42" s="126">
        <f>'[1]Biểu số 02'!F45</f>
        <v>665000000</v>
      </c>
      <c r="G42" s="126">
        <f>'[1]Biểu số 02'!K45</f>
        <v>3380000</v>
      </c>
      <c r="H42" s="119">
        <f aca="true" t="shared" si="5" ref="H42:H51">G42/C42*100</f>
        <v>0.5082706766917293</v>
      </c>
      <c r="I42" s="120"/>
    </row>
    <row r="43" spans="1:9" s="178" customFormat="1" ht="15">
      <c r="A43" s="183" t="s">
        <v>179</v>
      </c>
      <c r="B43" s="145" t="s">
        <v>69</v>
      </c>
      <c r="C43" s="123">
        <f>SUM(D43:F43)</f>
        <v>8807000000</v>
      </c>
      <c r="D43" s="123"/>
      <c r="E43" s="123">
        <f>SUM(E44:E49)</f>
        <v>8807000000</v>
      </c>
      <c r="F43" s="123"/>
      <c r="G43" s="123"/>
      <c r="H43" s="119">
        <f t="shared" si="5"/>
        <v>0</v>
      </c>
      <c r="I43" s="120"/>
    </row>
    <row r="44" spans="1:9" ht="32.25" customHeight="1">
      <c r="A44" s="184" t="s">
        <v>32</v>
      </c>
      <c r="B44" s="182" t="s">
        <v>180</v>
      </c>
      <c r="C44" s="123">
        <f t="shared" si="4"/>
        <v>5880000000</v>
      </c>
      <c r="D44" s="126"/>
      <c r="E44" s="126">
        <f>'[1]Biểu số 02'!E47</f>
        <v>5880000000</v>
      </c>
      <c r="F44" s="126"/>
      <c r="G44" s="126"/>
      <c r="H44" s="119">
        <f t="shared" si="5"/>
        <v>0</v>
      </c>
      <c r="I44" s="120"/>
    </row>
    <row r="45" spans="1:9" ht="32.25" customHeight="1">
      <c r="A45" s="184" t="s">
        <v>32</v>
      </c>
      <c r="B45" s="182" t="s">
        <v>181</v>
      </c>
      <c r="C45" s="123">
        <f t="shared" si="4"/>
        <v>1620000000</v>
      </c>
      <c r="D45" s="126"/>
      <c r="E45" s="126">
        <f>'[1]Biểu số 02'!E63</f>
        <v>1620000000</v>
      </c>
      <c r="F45" s="126"/>
      <c r="G45" s="126"/>
      <c r="H45" s="119">
        <f t="shared" si="5"/>
        <v>0</v>
      </c>
      <c r="I45" s="120"/>
    </row>
    <row r="46" spans="1:9" ht="32.25" customHeight="1">
      <c r="A46" s="184" t="s">
        <v>32</v>
      </c>
      <c r="B46" s="144" t="s">
        <v>182</v>
      </c>
      <c r="C46" s="123">
        <f t="shared" si="4"/>
        <v>600000000</v>
      </c>
      <c r="D46" s="126"/>
      <c r="E46" s="126">
        <f>'[1]Biểu số 02'!E71</f>
        <v>600000000</v>
      </c>
      <c r="F46" s="126"/>
      <c r="G46" s="126"/>
      <c r="H46" s="119">
        <f t="shared" si="5"/>
        <v>0</v>
      </c>
      <c r="I46" s="120"/>
    </row>
    <row r="47" spans="1:9" ht="32.25" customHeight="1">
      <c r="A47" s="184" t="s">
        <v>32</v>
      </c>
      <c r="B47" s="144" t="s">
        <v>183</v>
      </c>
      <c r="C47" s="123">
        <f t="shared" si="4"/>
        <v>596000000</v>
      </c>
      <c r="D47" s="126"/>
      <c r="E47" s="126">
        <f>'[1]Biểu số 02'!E73</f>
        <v>596000000</v>
      </c>
      <c r="F47" s="126"/>
      <c r="G47" s="126"/>
      <c r="H47" s="119">
        <f t="shared" si="5"/>
        <v>0</v>
      </c>
      <c r="I47" s="120"/>
    </row>
    <row r="48" spans="1:9" ht="32.25" customHeight="1">
      <c r="A48" s="183" t="s">
        <v>184</v>
      </c>
      <c r="B48" s="144" t="s">
        <v>185</v>
      </c>
      <c r="C48" s="123">
        <f t="shared" si="4"/>
        <v>32000000</v>
      </c>
      <c r="D48" s="126"/>
      <c r="E48" s="126">
        <f>'[1]Biểu số 02'!E75</f>
        <v>32000000</v>
      </c>
      <c r="F48" s="126"/>
      <c r="G48" s="126"/>
      <c r="H48" s="119">
        <f t="shared" si="5"/>
        <v>0</v>
      </c>
      <c r="I48" s="120"/>
    </row>
    <row r="49" spans="1:9" ht="32.25" customHeight="1">
      <c r="A49" s="183" t="s">
        <v>186</v>
      </c>
      <c r="B49" s="144" t="s">
        <v>187</v>
      </c>
      <c r="C49" s="123">
        <f t="shared" si="4"/>
        <v>79000000</v>
      </c>
      <c r="D49" s="126"/>
      <c r="E49" s="126">
        <f>'[1]Biểu số 02'!E77</f>
        <v>79000000</v>
      </c>
      <c r="F49" s="126"/>
      <c r="G49" s="126"/>
      <c r="H49" s="119">
        <f t="shared" si="5"/>
        <v>0</v>
      </c>
      <c r="I49" s="120"/>
    </row>
    <row r="50" spans="1:9" s="178" customFormat="1" ht="27.75" customHeight="1">
      <c r="A50" s="121">
        <v>2</v>
      </c>
      <c r="B50" s="122" t="s">
        <v>54</v>
      </c>
      <c r="C50" s="123">
        <f>C51+C52</f>
        <v>60953719376</v>
      </c>
      <c r="D50" s="123">
        <f>D51+D52</f>
        <v>6388719376</v>
      </c>
      <c r="E50" s="123">
        <f>E51+E52</f>
        <v>45829000000</v>
      </c>
      <c r="F50" s="123">
        <f>F51+F52</f>
        <v>8736000000</v>
      </c>
      <c r="G50" s="123">
        <f>G51+G52</f>
        <v>2230000000</v>
      </c>
      <c r="H50" s="119">
        <f t="shared" si="5"/>
        <v>3.658513414487457</v>
      </c>
      <c r="I50" s="120"/>
    </row>
    <row r="51" spans="1:9" ht="28.5" customHeight="1">
      <c r="A51" s="124" t="s">
        <v>89</v>
      </c>
      <c r="B51" s="125" t="s">
        <v>28</v>
      </c>
      <c r="C51" s="126">
        <f t="shared" si="4"/>
        <v>52217719376</v>
      </c>
      <c r="D51" s="126">
        <v>6388719376</v>
      </c>
      <c r="E51" s="126">
        <v>45829000000</v>
      </c>
      <c r="F51" s="126"/>
      <c r="G51" s="126">
        <f>1706000000+524000000</f>
        <v>2230000000</v>
      </c>
      <c r="H51" s="119">
        <f t="shared" si="5"/>
        <v>4.270580995586221</v>
      </c>
      <c r="I51" s="120"/>
    </row>
    <row r="52" spans="1:9" ht="30.75" customHeight="1">
      <c r="A52" s="124" t="s">
        <v>90</v>
      </c>
      <c r="B52" s="125" t="s">
        <v>44</v>
      </c>
      <c r="C52" s="123">
        <f>C53+C60+C63+C67+C68+C69+C72+C73+C85+C87</f>
        <v>8736000000</v>
      </c>
      <c r="D52" s="123">
        <f>D53+D60+D63+D67+D68+D69+D72+D73+D85+D87</f>
        <v>0</v>
      </c>
      <c r="E52" s="123"/>
      <c r="F52" s="123">
        <f>F53+F60+F63+F67+F68+F69+F72+F73+F85+F87</f>
        <v>8736000000</v>
      </c>
      <c r="G52" s="123">
        <f>G53+G60+G63+G67+G68+G69+G72+G73+G85+G87</f>
        <v>0</v>
      </c>
      <c r="H52" s="119">
        <f aca="true" t="shared" si="6" ref="H52:H99">G52/C52*100</f>
        <v>0</v>
      </c>
      <c r="I52" s="120"/>
    </row>
    <row r="53" spans="1:9" ht="25.5">
      <c r="A53" s="121" t="s">
        <v>43</v>
      </c>
      <c r="B53" s="146" t="s">
        <v>188</v>
      </c>
      <c r="C53" s="123">
        <f t="shared" si="4"/>
        <v>1309000000</v>
      </c>
      <c r="D53" s="126"/>
      <c r="E53" s="126"/>
      <c r="F53" s="126">
        <f>'[1]Biểu số 02'!F81</f>
        <v>1309000000</v>
      </c>
      <c r="G53" s="126"/>
      <c r="H53" s="119">
        <f t="shared" si="6"/>
        <v>0</v>
      </c>
      <c r="I53" s="120"/>
    </row>
    <row r="54" spans="1:9" ht="15.75" hidden="1">
      <c r="A54" s="185">
        <v>1</v>
      </c>
      <c r="B54" s="186" t="s">
        <v>189</v>
      </c>
      <c r="C54" s="123">
        <f t="shared" si="4"/>
        <v>0</v>
      </c>
      <c r="D54" s="126"/>
      <c r="E54" s="126"/>
      <c r="F54" s="126"/>
      <c r="G54" s="126"/>
      <c r="H54" s="119" t="e">
        <f t="shared" si="6"/>
        <v>#DIV/0!</v>
      </c>
      <c r="I54" s="120"/>
    </row>
    <row r="55" spans="1:9" ht="15.75" hidden="1">
      <c r="A55" s="185">
        <v>2</v>
      </c>
      <c r="B55" s="170" t="s">
        <v>190</v>
      </c>
      <c r="C55" s="123">
        <f t="shared" si="4"/>
        <v>0</v>
      </c>
      <c r="D55" s="126"/>
      <c r="E55" s="126"/>
      <c r="F55" s="126"/>
      <c r="G55" s="126"/>
      <c r="H55" s="119" t="e">
        <f t="shared" si="6"/>
        <v>#DIV/0!</v>
      </c>
      <c r="I55" s="120"/>
    </row>
    <row r="56" spans="1:9" ht="15.75" hidden="1">
      <c r="A56" s="185">
        <v>3</v>
      </c>
      <c r="B56" s="170" t="s">
        <v>191</v>
      </c>
      <c r="C56" s="123">
        <f t="shared" si="4"/>
        <v>0</v>
      </c>
      <c r="D56" s="126"/>
      <c r="E56" s="126"/>
      <c r="F56" s="126"/>
      <c r="G56" s="126"/>
      <c r="H56" s="119" t="e">
        <f t="shared" si="6"/>
        <v>#DIV/0!</v>
      </c>
      <c r="I56" s="120"/>
    </row>
    <row r="57" spans="1:9" ht="15.75" hidden="1">
      <c r="A57" s="185">
        <v>4</v>
      </c>
      <c r="B57" s="170" t="s">
        <v>192</v>
      </c>
      <c r="C57" s="123">
        <f t="shared" si="4"/>
        <v>0</v>
      </c>
      <c r="D57" s="126"/>
      <c r="E57" s="126"/>
      <c r="F57" s="126"/>
      <c r="G57" s="126"/>
      <c r="H57" s="119" t="e">
        <f t="shared" si="6"/>
        <v>#DIV/0!</v>
      </c>
      <c r="I57" s="120"/>
    </row>
    <row r="58" spans="1:9" ht="15.75" hidden="1">
      <c r="A58" s="185">
        <v>5</v>
      </c>
      <c r="B58" s="170" t="s">
        <v>193</v>
      </c>
      <c r="C58" s="123">
        <f t="shared" si="4"/>
        <v>0</v>
      </c>
      <c r="D58" s="126"/>
      <c r="E58" s="126"/>
      <c r="F58" s="126"/>
      <c r="G58" s="126"/>
      <c r="H58" s="119" t="e">
        <f t="shared" si="6"/>
        <v>#DIV/0!</v>
      </c>
      <c r="I58" s="120"/>
    </row>
    <row r="59" spans="1:9" ht="15.75" hidden="1">
      <c r="A59" s="185">
        <v>6</v>
      </c>
      <c r="B59" s="170" t="s">
        <v>194</v>
      </c>
      <c r="C59" s="123">
        <f t="shared" si="4"/>
        <v>0</v>
      </c>
      <c r="D59" s="126"/>
      <c r="E59" s="126"/>
      <c r="F59" s="126"/>
      <c r="G59" s="126"/>
      <c r="H59" s="119" t="e">
        <f t="shared" si="6"/>
        <v>#DIV/0!</v>
      </c>
      <c r="I59" s="120"/>
    </row>
    <row r="60" spans="1:9" ht="14.25">
      <c r="A60" s="187" t="s">
        <v>43</v>
      </c>
      <c r="B60" s="147" t="s">
        <v>82</v>
      </c>
      <c r="C60" s="123">
        <f t="shared" si="4"/>
        <v>1007000000</v>
      </c>
      <c r="D60" s="126"/>
      <c r="E60" s="126"/>
      <c r="F60" s="126">
        <f>'[1]Biểu số 02'!F88</f>
        <v>1007000000</v>
      </c>
      <c r="G60" s="126"/>
      <c r="H60" s="119">
        <f t="shared" si="6"/>
        <v>0</v>
      </c>
      <c r="I60" s="120"/>
    </row>
    <row r="61" spans="1:9" ht="63" hidden="1">
      <c r="A61" s="187" t="s">
        <v>43</v>
      </c>
      <c r="B61" s="188" t="s">
        <v>195</v>
      </c>
      <c r="C61" s="123">
        <f t="shared" si="4"/>
        <v>0</v>
      </c>
      <c r="D61" s="126"/>
      <c r="E61" s="126"/>
      <c r="F61" s="126"/>
      <c r="G61" s="126"/>
      <c r="H61" s="119" t="e">
        <f t="shared" si="6"/>
        <v>#DIV/0!</v>
      </c>
      <c r="I61" s="120"/>
    </row>
    <row r="62" spans="1:9" ht="30.75" customHeight="1" hidden="1">
      <c r="A62" s="187" t="s">
        <v>43</v>
      </c>
      <c r="B62" s="188" t="s">
        <v>196</v>
      </c>
      <c r="C62" s="123">
        <f t="shared" si="4"/>
        <v>0</v>
      </c>
      <c r="D62" s="126"/>
      <c r="E62" s="126"/>
      <c r="F62" s="126"/>
      <c r="G62" s="126"/>
      <c r="H62" s="119" t="e">
        <f t="shared" si="6"/>
        <v>#DIV/0!</v>
      </c>
      <c r="I62" s="120"/>
    </row>
    <row r="63" spans="1:9" ht="30.75" customHeight="1">
      <c r="A63" s="187" t="s">
        <v>43</v>
      </c>
      <c r="B63" s="147" t="s">
        <v>83</v>
      </c>
      <c r="C63" s="123">
        <f t="shared" si="4"/>
        <v>250000000</v>
      </c>
      <c r="D63" s="126"/>
      <c r="E63" s="126"/>
      <c r="F63" s="126">
        <f>'[1]Biểu số 02'!F91</f>
        <v>250000000</v>
      </c>
      <c r="G63" s="126"/>
      <c r="H63" s="119">
        <f t="shared" si="6"/>
        <v>0</v>
      </c>
      <c r="I63" s="120"/>
    </row>
    <row r="64" spans="1:9" ht="30.75" customHeight="1" hidden="1">
      <c r="A64" s="187" t="s">
        <v>43</v>
      </c>
      <c r="B64" s="189" t="s">
        <v>197</v>
      </c>
      <c r="C64" s="123">
        <f t="shared" si="4"/>
        <v>0</v>
      </c>
      <c r="D64" s="126"/>
      <c r="E64" s="126"/>
      <c r="F64" s="126"/>
      <c r="G64" s="126"/>
      <c r="H64" s="119" t="e">
        <f t="shared" si="6"/>
        <v>#DIV/0!</v>
      </c>
      <c r="I64" s="120"/>
    </row>
    <row r="65" spans="1:9" ht="30.75" customHeight="1" hidden="1">
      <c r="A65" s="187" t="s">
        <v>43</v>
      </c>
      <c r="B65" s="189" t="s">
        <v>198</v>
      </c>
      <c r="C65" s="123">
        <f t="shared" si="4"/>
        <v>0</v>
      </c>
      <c r="D65" s="126"/>
      <c r="E65" s="126"/>
      <c r="F65" s="126"/>
      <c r="G65" s="126"/>
      <c r="H65" s="119" t="e">
        <f t="shared" si="6"/>
        <v>#DIV/0!</v>
      </c>
      <c r="I65" s="120"/>
    </row>
    <row r="66" spans="1:9" ht="30.75" customHeight="1" hidden="1">
      <c r="A66" s="187" t="s">
        <v>43</v>
      </c>
      <c r="B66" s="189" t="s">
        <v>199</v>
      </c>
      <c r="C66" s="123">
        <f t="shared" si="4"/>
        <v>0</v>
      </c>
      <c r="D66" s="126"/>
      <c r="E66" s="126"/>
      <c r="F66" s="126"/>
      <c r="G66" s="126"/>
      <c r="H66" s="119" t="e">
        <f t="shared" si="6"/>
        <v>#DIV/0!</v>
      </c>
      <c r="I66" s="120"/>
    </row>
    <row r="67" spans="1:9" ht="30.75" customHeight="1">
      <c r="A67" s="187" t="s">
        <v>43</v>
      </c>
      <c r="B67" s="147" t="s">
        <v>200</v>
      </c>
      <c r="C67" s="123">
        <f t="shared" si="4"/>
        <v>100000000</v>
      </c>
      <c r="D67" s="126"/>
      <c r="E67" s="126"/>
      <c r="F67" s="126">
        <f>'[1]Biểu số 02'!F95</f>
        <v>100000000</v>
      </c>
      <c r="G67" s="126"/>
      <c r="H67" s="119">
        <f t="shared" si="6"/>
        <v>0</v>
      </c>
      <c r="I67" s="120"/>
    </row>
    <row r="68" spans="1:9" ht="30.75" customHeight="1">
      <c r="A68" s="187" t="s">
        <v>43</v>
      </c>
      <c r="B68" s="147" t="s">
        <v>201</v>
      </c>
      <c r="C68" s="123">
        <f t="shared" si="4"/>
        <v>130000000</v>
      </c>
      <c r="D68" s="126"/>
      <c r="E68" s="126"/>
      <c r="F68" s="126">
        <f>'[1]Biểu số 02'!F96</f>
        <v>130000000</v>
      </c>
      <c r="G68" s="126"/>
      <c r="H68" s="119">
        <f t="shared" si="6"/>
        <v>0</v>
      </c>
      <c r="I68" s="120"/>
    </row>
    <row r="69" spans="1:9" ht="30.75" customHeight="1">
      <c r="A69" s="187" t="s">
        <v>43</v>
      </c>
      <c r="B69" s="147" t="s">
        <v>202</v>
      </c>
      <c r="C69" s="123">
        <f t="shared" si="4"/>
        <v>2000000000</v>
      </c>
      <c r="D69" s="126"/>
      <c r="E69" s="126"/>
      <c r="F69" s="126">
        <f>'[1]Biểu số 02'!F97</f>
        <v>2000000000</v>
      </c>
      <c r="G69" s="126"/>
      <c r="H69" s="119">
        <f t="shared" si="6"/>
        <v>0</v>
      </c>
      <c r="I69" s="120"/>
    </row>
    <row r="70" spans="1:9" ht="30.75" customHeight="1" hidden="1">
      <c r="A70" s="187" t="s">
        <v>43</v>
      </c>
      <c r="B70" s="190" t="s">
        <v>203</v>
      </c>
      <c r="C70" s="123">
        <f t="shared" si="4"/>
        <v>0</v>
      </c>
      <c r="D70" s="126"/>
      <c r="E70" s="126"/>
      <c r="F70" s="126"/>
      <c r="G70" s="126"/>
      <c r="H70" s="119" t="e">
        <f t="shared" si="6"/>
        <v>#DIV/0!</v>
      </c>
      <c r="I70" s="120"/>
    </row>
    <row r="71" spans="1:9" ht="30.75" customHeight="1" hidden="1">
      <c r="A71" s="187" t="s">
        <v>43</v>
      </c>
      <c r="B71" s="190" t="s">
        <v>204</v>
      </c>
      <c r="C71" s="123">
        <f t="shared" si="4"/>
        <v>0</v>
      </c>
      <c r="D71" s="126"/>
      <c r="E71" s="126"/>
      <c r="F71" s="126"/>
      <c r="G71" s="126"/>
      <c r="H71" s="119" t="e">
        <f t="shared" si="6"/>
        <v>#DIV/0!</v>
      </c>
      <c r="I71" s="120"/>
    </row>
    <row r="72" spans="1:9" ht="30.75" customHeight="1">
      <c r="A72" s="187" t="s">
        <v>43</v>
      </c>
      <c r="B72" s="147" t="s">
        <v>205</v>
      </c>
      <c r="C72" s="123">
        <f t="shared" si="4"/>
        <v>500000000</v>
      </c>
      <c r="D72" s="126"/>
      <c r="E72" s="126"/>
      <c r="F72" s="126">
        <f>'[1]Biểu số 02'!F100</f>
        <v>500000000</v>
      </c>
      <c r="G72" s="126"/>
      <c r="H72" s="119">
        <f t="shared" si="6"/>
        <v>0</v>
      </c>
      <c r="I72" s="120"/>
    </row>
    <row r="73" spans="1:9" ht="30.75" customHeight="1">
      <c r="A73" s="187" t="s">
        <v>43</v>
      </c>
      <c r="B73" s="147" t="s">
        <v>206</v>
      </c>
      <c r="C73" s="123">
        <f t="shared" si="4"/>
        <v>2200000000</v>
      </c>
      <c r="D73" s="126"/>
      <c r="E73" s="126"/>
      <c r="F73" s="126">
        <f>'[1]Biểu số 02'!F101</f>
        <v>2200000000</v>
      </c>
      <c r="G73" s="126"/>
      <c r="H73" s="119">
        <f t="shared" si="6"/>
        <v>0</v>
      </c>
      <c r="I73" s="120"/>
    </row>
    <row r="74" spans="1:9" ht="30.75" customHeight="1" hidden="1">
      <c r="A74" s="187" t="s">
        <v>43</v>
      </c>
      <c r="B74" s="191" t="s">
        <v>193</v>
      </c>
      <c r="C74" s="123">
        <f t="shared" si="4"/>
        <v>0</v>
      </c>
      <c r="D74" s="126"/>
      <c r="E74" s="126"/>
      <c r="F74" s="126"/>
      <c r="G74" s="126"/>
      <c r="H74" s="119" t="e">
        <f t="shared" si="6"/>
        <v>#DIV/0!</v>
      </c>
      <c r="I74" s="120"/>
    </row>
    <row r="75" spans="1:9" ht="30.75" customHeight="1" hidden="1">
      <c r="A75" s="187" t="s">
        <v>43</v>
      </c>
      <c r="B75" s="192" t="s">
        <v>192</v>
      </c>
      <c r="C75" s="123">
        <f t="shared" si="4"/>
        <v>0</v>
      </c>
      <c r="D75" s="126"/>
      <c r="E75" s="126"/>
      <c r="F75" s="126"/>
      <c r="G75" s="126"/>
      <c r="H75" s="119" t="e">
        <f t="shared" si="6"/>
        <v>#DIV/0!</v>
      </c>
      <c r="I75" s="120"/>
    </row>
    <row r="76" spans="1:9" ht="30.75" customHeight="1" hidden="1">
      <c r="A76" s="187" t="s">
        <v>43</v>
      </c>
      <c r="B76" s="192" t="s">
        <v>191</v>
      </c>
      <c r="C76" s="123">
        <f t="shared" si="4"/>
        <v>0</v>
      </c>
      <c r="D76" s="126"/>
      <c r="E76" s="126"/>
      <c r="F76" s="126"/>
      <c r="G76" s="126"/>
      <c r="H76" s="119" t="e">
        <f t="shared" si="6"/>
        <v>#DIV/0!</v>
      </c>
      <c r="I76" s="120"/>
    </row>
    <row r="77" spans="1:9" ht="30.75" customHeight="1" hidden="1">
      <c r="A77" s="187" t="s">
        <v>43</v>
      </c>
      <c r="B77" s="191" t="s">
        <v>207</v>
      </c>
      <c r="C77" s="123">
        <f t="shared" si="4"/>
        <v>0</v>
      </c>
      <c r="D77" s="126"/>
      <c r="E77" s="126"/>
      <c r="F77" s="126"/>
      <c r="G77" s="126"/>
      <c r="H77" s="119" t="e">
        <f t="shared" si="6"/>
        <v>#DIV/0!</v>
      </c>
      <c r="I77" s="120"/>
    </row>
    <row r="78" spans="1:9" ht="30.75" customHeight="1" hidden="1">
      <c r="A78" s="187" t="s">
        <v>43</v>
      </c>
      <c r="B78" s="192" t="s">
        <v>208</v>
      </c>
      <c r="C78" s="123">
        <f t="shared" si="4"/>
        <v>0</v>
      </c>
      <c r="D78" s="126"/>
      <c r="E78" s="126"/>
      <c r="F78" s="126"/>
      <c r="G78" s="126"/>
      <c r="H78" s="119" t="e">
        <f t="shared" si="6"/>
        <v>#DIV/0!</v>
      </c>
      <c r="I78" s="120"/>
    </row>
    <row r="79" spans="1:9" ht="30.75" customHeight="1" hidden="1">
      <c r="A79" s="187" t="s">
        <v>43</v>
      </c>
      <c r="B79" s="192" t="s">
        <v>189</v>
      </c>
      <c r="C79" s="123">
        <f t="shared" si="4"/>
        <v>0</v>
      </c>
      <c r="D79" s="126"/>
      <c r="E79" s="126"/>
      <c r="F79" s="126"/>
      <c r="G79" s="126"/>
      <c r="H79" s="119" t="e">
        <f t="shared" si="6"/>
        <v>#DIV/0!</v>
      </c>
      <c r="I79" s="120"/>
    </row>
    <row r="80" spans="1:9" ht="30.75" customHeight="1" hidden="1">
      <c r="A80" s="187" t="s">
        <v>43</v>
      </c>
      <c r="B80" s="192" t="s">
        <v>209</v>
      </c>
      <c r="C80" s="123">
        <f t="shared" si="4"/>
        <v>0</v>
      </c>
      <c r="D80" s="126"/>
      <c r="E80" s="126"/>
      <c r="F80" s="126"/>
      <c r="G80" s="126"/>
      <c r="H80" s="119" t="e">
        <f t="shared" si="6"/>
        <v>#DIV/0!</v>
      </c>
      <c r="I80" s="120"/>
    </row>
    <row r="81" spans="1:9" ht="30.75" customHeight="1" hidden="1">
      <c r="A81" s="187" t="s">
        <v>43</v>
      </c>
      <c r="B81" s="192" t="s">
        <v>210</v>
      </c>
      <c r="C81" s="123">
        <f t="shared" si="4"/>
        <v>0</v>
      </c>
      <c r="D81" s="126"/>
      <c r="E81" s="126"/>
      <c r="F81" s="126"/>
      <c r="G81" s="126"/>
      <c r="H81" s="119" t="e">
        <f t="shared" si="6"/>
        <v>#DIV/0!</v>
      </c>
      <c r="I81" s="120"/>
    </row>
    <row r="82" spans="1:9" ht="30.75" customHeight="1" hidden="1">
      <c r="A82" s="187" t="s">
        <v>43</v>
      </c>
      <c r="B82" s="191" t="s">
        <v>211</v>
      </c>
      <c r="C82" s="123">
        <f t="shared" si="4"/>
        <v>0</v>
      </c>
      <c r="D82" s="126"/>
      <c r="E82" s="126"/>
      <c r="F82" s="126"/>
      <c r="G82" s="126"/>
      <c r="H82" s="119" t="e">
        <f t="shared" si="6"/>
        <v>#DIV/0!</v>
      </c>
      <c r="I82" s="120"/>
    </row>
    <row r="83" spans="1:9" ht="30.75" customHeight="1" hidden="1">
      <c r="A83" s="187" t="s">
        <v>43</v>
      </c>
      <c r="B83" s="192" t="s">
        <v>212</v>
      </c>
      <c r="C83" s="123">
        <f t="shared" si="4"/>
        <v>0</v>
      </c>
      <c r="D83" s="126"/>
      <c r="E83" s="126"/>
      <c r="F83" s="126"/>
      <c r="G83" s="126"/>
      <c r="H83" s="119" t="e">
        <f t="shared" si="6"/>
        <v>#DIV/0!</v>
      </c>
      <c r="I83" s="120"/>
    </row>
    <row r="84" spans="1:9" ht="30.75" customHeight="1" hidden="1">
      <c r="A84" s="187" t="s">
        <v>43</v>
      </c>
      <c r="B84" s="192" t="s">
        <v>213</v>
      </c>
      <c r="C84" s="123">
        <f t="shared" si="4"/>
        <v>0</v>
      </c>
      <c r="D84" s="126"/>
      <c r="E84" s="126"/>
      <c r="F84" s="126"/>
      <c r="G84" s="126"/>
      <c r="H84" s="119" t="e">
        <f t="shared" si="6"/>
        <v>#DIV/0!</v>
      </c>
      <c r="I84" s="120"/>
    </row>
    <row r="85" spans="1:9" ht="25.5">
      <c r="A85" s="187" t="s">
        <v>43</v>
      </c>
      <c r="B85" s="147" t="s">
        <v>214</v>
      </c>
      <c r="C85" s="123">
        <f t="shared" si="4"/>
        <v>100000000</v>
      </c>
      <c r="D85" s="126"/>
      <c r="E85" s="126"/>
      <c r="F85" s="126">
        <f>'[1]Biểu số 02'!F113</f>
        <v>100000000</v>
      </c>
      <c r="G85" s="126"/>
      <c r="H85" s="119">
        <f t="shared" si="6"/>
        <v>0</v>
      </c>
      <c r="I85" s="120"/>
    </row>
    <row r="86" spans="1:9" ht="30.75" customHeight="1" hidden="1">
      <c r="A86" s="187" t="s">
        <v>43</v>
      </c>
      <c r="B86" s="190" t="s">
        <v>215</v>
      </c>
      <c r="C86" s="123">
        <f t="shared" si="4"/>
        <v>0</v>
      </c>
      <c r="D86" s="126"/>
      <c r="E86" s="126"/>
      <c r="F86" s="126"/>
      <c r="G86" s="126"/>
      <c r="H86" s="119" t="e">
        <f t="shared" si="6"/>
        <v>#DIV/0!</v>
      </c>
      <c r="I86" s="120"/>
    </row>
    <row r="87" spans="1:9" ht="25.5">
      <c r="A87" s="187" t="s">
        <v>43</v>
      </c>
      <c r="B87" s="147" t="s">
        <v>216</v>
      </c>
      <c r="C87" s="123">
        <f t="shared" si="4"/>
        <v>1140000000</v>
      </c>
      <c r="D87" s="126"/>
      <c r="E87" s="126"/>
      <c r="F87" s="126">
        <f>'[1]Biểu số 02'!F115</f>
        <v>1140000000</v>
      </c>
      <c r="G87" s="126"/>
      <c r="H87" s="119">
        <f t="shared" si="6"/>
        <v>0</v>
      </c>
      <c r="I87" s="120"/>
    </row>
    <row r="88" spans="1:9" ht="30.75" customHeight="1" hidden="1">
      <c r="A88" s="185">
        <v>1</v>
      </c>
      <c r="B88" s="193" t="s">
        <v>217</v>
      </c>
      <c r="C88" s="123">
        <f t="shared" si="4"/>
        <v>100000000</v>
      </c>
      <c r="D88" s="126"/>
      <c r="E88" s="126">
        <f>'[1]Biểu số 02'!F116</f>
        <v>100000000</v>
      </c>
      <c r="F88" s="126"/>
      <c r="G88" s="126"/>
      <c r="H88" s="119">
        <f t="shared" si="6"/>
        <v>0</v>
      </c>
      <c r="I88" s="120"/>
    </row>
    <row r="89" spans="1:9" ht="30.75" customHeight="1" hidden="1">
      <c r="A89" s="185">
        <v>2</v>
      </c>
      <c r="B89" s="193" t="s">
        <v>218</v>
      </c>
      <c r="C89" s="123">
        <f t="shared" si="4"/>
        <v>100000000</v>
      </c>
      <c r="D89" s="126"/>
      <c r="E89" s="126">
        <f>'[1]Biểu số 02'!F117</f>
        <v>100000000</v>
      </c>
      <c r="F89" s="126"/>
      <c r="G89" s="126"/>
      <c r="H89" s="119">
        <f t="shared" si="6"/>
        <v>0</v>
      </c>
      <c r="I89" s="120"/>
    </row>
    <row r="90" spans="1:9" ht="30.75" customHeight="1" hidden="1">
      <c r="A90" s="185">
        <v>3</v>
      </c>
      <c r="B90" s="193" t="s">
        <v>219</v>
      </c>
      <c r="C90" s="123">
        <f t="shared" si="4"/>
        <v>100000000</v>
      </c>
      <c r="D90" s="126"/>
      <c r="E90" s="126">
        <f>'[1]Biểu số 02'!F118</f>
        <v>100000000</v>
      </c>
      <c r="F90" s="126"/>
      <c r="G90" s="126"/>
      <c r="H90" s="119">
        <f t="shared" si="6"/>
        <v>0</v>
      </c>
      <c r="I90" s="120"/>
    </row>
    <row r="91" spans="1:9" ht="30.75" customHeight="1" hidden="1">
      <c r="A91" s="185">
        <v>4</v>
      </c>
      <c r="B91" s="193" t="s">
        <v>220</v>
      </c>
      <c r="C91" s="123">
        <f t="shared" si="4"/>
        <v>100000000</v>
      </c>
      <c r="D91" s="126"/>
      <c r="E91" s="126">
        <f>'[1]Biểu số 02'!F119</f>
        <v>100000000</v>
      </c>
      <c r="F91" s="126"/>
      <c r="G91" s="126"/>
      <c r="H91" s="119">
        <f t="shared" si="6"/>
        <v>0</v>
      </c>
      <c r="I91" s="120"/>
    </row>
    <row r="92" spans="1:9" ht="15" hidden="1">
      <c r="A92" s="185">
        <v>5</v>
      </c>
      <c r="B92" s="193" t="s">
        <v>221</v>
      </c>
      <c r="C92" s="123">
        <f t="shared" si="4"/>
        <v>60000000</v>
      </c>
      <c r="D92" s="126"/>
      <c r="E92" s="126">
        <f>'[1]Biểu số 02'!F120</f>
        <v>60000000</v>
      </c>
      <c r="F92" s="126"/>
      <c r="G92" s="126"/>
      <c r="H92" s="119">
        <f t="shared" si="6"/>
        <v>0</v>
      </c>
      <c r="I92" s="120"/>
    </row>
    <row r="93" spans="1:9" ht="15" hidden="1">
      <c r="A93" s="185">
        <v>6</v>
      </c>
      <c r="B93" s="193" t="s">
        <v>222</v>
      </c>
      <c r="C93" s="123">
        <f t="shared" si="4"/>
        <v>70000000</v>
      </c>
      <c r="D93" s="126"/>
      <c r="E93" s="126">
        <f>'[1]Biểu số 02'!F121</f>
        <v>70000000</v>
      </c>
      <c r="F93" s="126"/>
      <c r="G93" s="126"/>
      <c r="H93" s="119">
        <f t="shared" si="6"/>
        <v>0</v>
      </c>
      <c r="I93" s="120"/>
    </row>
    <row r="94" spans="1:9" ht="15" hidden="1">
      <c r="A94" s="185">
        <v>7</v>
      </c>
      <c r="B94" s="193" t="s">
        <v>223</v>
      </c>
      <c r="C94" s="123">
        <f t="shared" si="4"/>
        <v>150000000</v>
      </c>
      <c r="D94" s="126"/>
      <c r="E94" s="126">
        <f>'[1]Biểu số 02'!F122</f>
        <v>150000000</v>
      </c>
      <c r="F94" s="126"/>
      <c r="G94" s="126"/>
      <c r="H94" s="119">
        <f t="shared" si="6"/>
        <v>0</v>
      </c>
      <c r="I94" s="120"/>
    </row>
    <row r="95" spans="1:9" ht="15" hidden="1">
      <c r="A95" s="185">
        <v>8</v>
      </c>
      <c r="B95" s="193" t="s">
        <v>224</v>
      </c>
      <c r="C95" s="123">
        <f>SUM(D95:F95)</f>
        <v>100000000</v>
      </c>
      <c r="D95" s="126"/>
      <c r="E95" s="126">
        <f>'[1]Biểu số 02'!F123</f>
        <v>100000000</v>
      </c>
      <c r="F95" s="126"/>
      <c r="G95" s="126"/>
      <c r="H95" s="119">
        <f t="shared" si="6"/>
        <v>0</v>
      </c>
      <c r="I95" s="120"/>
    </row>
    <row r="96" spans="1:9" ht="15" hidden="1">
      <c r="A96" s="185">
        <v>9</v>
      </c>
      <c r="B96" s="193" t="s">
        <v>225</v>
      </c>
      <c r="C96" s="126">
        <f t="shared" si="4"/>
        <v>100000000</v>
      </c>
      <c r="D96" s="126"/>
      <c r="E96" s="126">
        <f>'[1]Biểu số 02'!F124</f>
        <v>100000000</v>
      </c>
      <c r="F96" s="126"/>
      <c r="G96" s="126"/>
      <c r="H96" s="119">
        <f t="shared" si="6"/>
        <v>0</v>
      </c>
      <c r="I96" s="120"/>
    </row>
    <row r="97" spans="1:9" ht="15" hidden="1">
      <c r="A97" s="185">
        <v>10</v>
      </c>
      <c r="B97" s="193" t="s">
        <v>226</v>
      </c>
      <c r="C97" s="126">
        <f t="shared" si="4"/>
        <v>100000000</v>
      </c>
      <c r="D97" s="126"/>
      <c r="E97" s="126">
        <f>'[1]Biểu số 02'!F125</f>
        <v>100000000</v>
      </c>
      <c r="F97" s="126"/>
      <c r="G97" s="126"/>
      <c r="H97" s="119">
        <f t="shared" si="6"/>
        <v>0</v>
      </c>
      <c r="I97" s="120"/>
    </row>
    <row r="98" spans="1:9" ht="15" hidden="1">
      <c r="A98" s="185">
        <v>11</v>
      </c>
      <c r="B98" s="193" t="s">
        <v>189</v>
      </c>
      <c r="C98" s="126">
        <f t="shared" si="4"/>
        <v>100000000</v>
      </c>
      <c r="D98" s="126"/>
      <c r="E98" s="126">
        <f>'[1]Biểu số 02'!F126</f>
        <v>100000000</v>
      </c>
      <c r="F98" s="126"/>
      <c r="G98" s="126"/>
      <c r="H98" s="119">
        <f t="shared" si="6"/>
        <v>0</v>
      </c>
      <c r="I98" s="120"/>
    </row>
    <row r="99" spans="1:9" ht="15" hidden="1">
      <c r="A99" s="185">
        <v>12</v>
      </c>
      <c r="B99" s="193" t="s">
        <v>227</v>
      </c>
      <c r="C99" s="126">
        <f t="shared" si="4"/>
        <v>60000000</v>
      </c>
      <c r="D99" s="126"/>
      <c r="E99" s="126">
        <f>'[1]Biểu số 02'!F127</f>
        <v>60000000</v>
      </c>
      <c r="F99" s="126"/>
      <c r="G99" s="126"/>
      <c r="H99" s="119">
        <f t="shared" si="6"/>
        <v>0</v>
      </c>
      <c r="I99" s="120"/>
    </row>
    <row r="100" spans="1:9" ht="14.25" hidden="1">
      <c r="A100" s="124"/>
      <c r="B100" s="147"/>
      <c r="C100" s="126">
        <f t="shared" si="4"/>
        <v>0</v>
      </c>
      <c r="D100" s="126"/>
      <c r="E100" s="126"/>
      <c r="F100" s="126"/>
      <c r="G100" s="126"/>
      <c r="H100" s="167"/>
      <c r="I100" s="129"/>
    </row>
    <row r="101" spans="1:9" ht="29.25" customHeight="1">
      <c r="A101" s="121" t="s">
        <v>5</v>
      </c>
      <c r="B101" s="122" t="s">
        <v>31</v>
      </c>
      <c r="C101" s="123">
        <f>C102+C107</f>
        <v>21876111000</v>
      </c>
      <c r="D101" s="123">
        <f>D102+D107</f>
        <v>18858249000</v>
      </c>
      <c r="E101" s="123">
        <f>E102+E107</f>
        <v>1459000000</v>
      </c>
      <c r="F101" s="123">
        <f>F102+F107</f>
        <v>1558862000</v>
      </c>
      <c r="G101" s="123">
        <f>G102+G107</f>
        <v>1029034059</v>
      </c>
      <c r="H101" s="119">
        <f>G101/C101*100</f>
        <v>4.703916793071675</v>
      </c>
      <c r="I101" s="120"/>
    </row>
    <row r="102" spans="1:9" s="178" customFormat="1" ht="21" customHeight="1">
      <c r="A102" s="194" t="s">
        <v>27</v>
      </c>
      <c r="B102" s="122" t="s">
        <v>28</v>
      </c>
      <c r="C102" s="123">
        <f>SUM(C103:C106)</f>
        <v>18858249000</v>
      </c>
      <c r="D102" s="123">
        <f>SUM(D103:D106)</f>
        <v>18858249000</v>
      </c>
      <c r="E102" s="123">
        <f>SUM(E103:E106)</f>
        <v>0</v>
      </c>
      <c r="F102" s="123">
        <f>SUM(F103:F106)</f>
        <v>0</v>
      </c>
      <c r="G102" s="123">
        <f>SUM(G103:G106)</f>
        <v>524000000</v>
      </c>
      <c r="H102" s="119">
        <f>G102/C102*100</f>
        <v>2.7786248871780197</v>
      </c>
      <c r="I102" s="120"/>
    </row>
    <row r="103" spans="1:9" ht="21" customHeight="1">
      <c r="A103" s="195" t="s">
        <v>43</v>
      </c>
      <c r="B103" s="171" t="s">
        <v>228</v>
      </c>
      <c r="C103" s="126">
        <f>D103+E103+F103</f>
        <v>16285000000</v>
      </c>
      <c r="D103" s="126">
        <f>700000000+15585000000</f>
        <v>16285000000</v>
      </c>
      <c r="E103" s="126"/>
      <c r="F103" s="149"/>
      <c r="G103" s="196"/>
      <c r="H103" s="119">
        <f>G103/C103*100</f>
        <v>0</v>
      </c>
      <c r="I103" s="120"/>
    </row>
    <row r="104" spans="1:9" ht="27.75" customHeight="1">
      <c r="A104" s="195" t="s">
        <v>43</v>
      </c>
      <c r="B104" s="172" t="s">
        <v>229</v>
      </c>
      <c r="C104" s="126">
        <f>D104+E104+F104</f>
        <v>2508000000</v>
      </c>
      <c r="D104" s="148">
        <v>2508000000</v>
      </c>
      <c r="E104" s="148"/>
      <c r="F104" s="150"/>
      <c r="G104" s="196">
        <v>524000000</v>
      </c>
      <c r="H104" s="119">
        <f>G104/C104*100</f>
        <v>20.893141945773525</v>
      </c>
      <c r="I104" s="120"/>
    </row>
    <row r="105" spans="1:9" ht="33" customHeight="1">
      <c r="A105" s="195" t="s">
        <v>43</v>
      </c>
      <c r="B105" s="172" t="s">
        <v>230</v>
      </c>
      <c r="C105" s="126">
        <f>D105+E105+F105</f>
        <v>65249000</v>
      </c>
      <c r="D105" s="148">
        <v>65249000</v>
      </c>
      <c r="E105" s="148"/>
      <c r="F105" s="150"/>
      <c r="G105" s="196"/>
      <c r="H105" s="119">
        <f>G105/C105*100</f>
        <v>0</v>
      </c>
      <c r="I105" s="120"/>
    </row>
    <row r="106" spans="1:9" ht="21" customHeight="1" hidden="1">
      <c r="A106" s="195"/>
      <c r="B106" s="173"/>
      <c r="C106" s="148"/>
      <c r="D106" s="148"/>
      <c r="E106" s="148"/>
      <c r="F106" s="150"/>
      <c r="G106" s="196"/>
      <c r="H106" s="119"/>
      <c r="I106" s="120"/>
    </row>
    <row r="107" spans="1:9" s="178" customFormat="1" ht="21" customHeight="1">
      <c r="A107" s="194" t="s">
        <v>30</v>
      </c>
      <c r="B107" s="122" t="s">
        <v>29</v>
      </c>
      <c r="C107" s="151">
        <f>SUM(C108:C117)</f>
        <v>3017862000</v>
      </c>
      <c r="D107" s="151">
        <f>SUM(D108:D117)</f>
        <v>0</v>
      </c>
      <c r="E107" s="151">
        <f>SUM(E108:E117)</f>
        <v>1459000000</v>
      </c>
      <c r="F107" s="151">
        <f>SUM(F108:F117)</f>
        <v>1558862000</v>
      </c>
      <c r="G107" s="151">
        <f>SUM(G108:G117)</f>
        <v>505034059</v>
      </c>
      <c r="H107" s="119">
        <f>G107/C107*100</f>
        <v>16.73482945873602</v>
      </c>
      <c r="I107" s="120"/>
    </row>
    <row r="108" spans="1:10" ht="46.5" customHeight="1">
      <c r="A108" s="197" t="s">
        <v>32</v>
      </c>
      <c r="B108" s="144" t="s">
        <v>231</v>
      </c>
      <c r="C108" s="152">
        <f>SUM(D108:F108)</f>
        <v>80000000</v>
      </c>
      <c r="D108" s="153"/>
      <c r="E108" s="153">
        <v>80000000</v>
      </c>
      <c r="F108" s="153"/>
      <c r="G108" s="153"/>
      <c r="H108" s="119">
        <f>G108/C108*100</f>
        <v>0</v>
      </c>
      <c r="I108" s="120"/>
      <c r="J108" s="160" t="s">
        <v>232</v>
      </c>
    </row>
    <row r="109" spans="1:10" ht="45.75" customHeight="1">
      <c r="A109" s="197" t="s">
        <v>32</v>
      </c>
      <c r="B109" s="140" t="s">
        <v>233</v>
      </c>
      <c r="C109" s="152">
        <f>SUM(D109:F109)</f>
        <v>1309000000</v>
      </c>
      <c r="D109" s="153"/>
      <c r="E109" s="153">
        <v>1309000000</v>
      </c>
      <c r="F109" s="153"/>
      <c r="G109" s="154">
        <f>'[1]Biểu số 02'!K132</f>
        <v>11157059</v>
      </c>
      <c r="H109" s="119">
        <f>G109/C109*100</f>
        <v>0.8523345301757067</v>
      </c>
      <c r="I109" s="120"/>
      <c r="J109" s="160" t="s">
        <v>234</v>
      </c>
    </row>
    <row r="110" spans="1:10" ht="25.5">
      <c r="A110" s="198" t="s">
        <v>32</v>
      </c>
      <c r="B110" s="155" t="s">
        <v>235</v>
      </c>
      <c r="C110" s="156">
        <f aca="true" t="shared" si="7" ref="C110:C116">SUM(D110:F110)</f>
        <v>70000000</v>
      </c>
      <c r="D110" s="154"/>
      <c r="E110" s="154">
        <v>70000000</v>
      </c>
      <c r="F110" s="199"/>
      <c r="G110" s="200"/>
      <c r="H110" s="119">
        <f aca="true" t="shared" si="8" ref="H110:H116">G110/C110*100</f>
        <v>0</v>
      </c>
      <c r="I110" s="120"/>
      <c r="J110" s="160" t="s">
        <v>236</v>
      </c>
    </row>
    <row r="111" spans="1:10" s="201" customFormat="1" ht="25.5">
      <c r="A111" s="198" t="s">
        <v>32</v>
      </c>
      <c r="B111" s="155" t="s">
        <v>237</v>
      </c>
      <c r="C111" s="156">
        <f t="shared" si="7"/>
        <v>500000000</v>
      </c>
      <c r="D111" s="157"/>
      <c r="E111" s="157"/>
      <c r="F111" s="174">
        <v>500000000</v>
      </c>
      <c r="G111" s="174"/>
      <c r="H111" s="119">
        <f t="shared" si="8"/>
        <v>0</v>
      </c>
      <c r="I111" s="120"/>
      <c r="J111" s="201" t="s">
        <v>238</v>
      </c>
    </row>
    <row r="112" spans="1:9" s="201" customFormat="1" ht="25.5">
      <c r="A112" s="198" t="s">
        <v>32</v>
      </c>
      <c r="B112" s="155" t="s">
        <v>239</v>
      </c>
      <c r="C112" s="156">
        <f t="shared" si="7"/>
        <v>96000000</v>
      </c>
      <c r="D112" s="132"/>
      <c r="E112" s="157"/>
      <c r="F112" s="174">
        <v>96000000</v>
      </c>
      <c r="G112" s="174">
        <f>F112</f>
        <v>96000000</v>
      </c>
      <c r="H112" s="119">
        <f t="shared" si="8"/>
        <v>100</v>
      </c>
      <c r="I112" s="120"/>
    </row>
    <row r="113" spans="1:10" s="201" customFormat="1" ht="25.5">
      <c r="A113" s="198" t="s">
        <v>32</v>
      </c>
      <c r="B113" s="155" t="s">
        <v>240</v>
      </c>
      <c r="C113" s="156">
        <f t="shared" si="7"/>
        <v>34300000</v>
      </c>
      <c r="D113" s="132"/>
      <c r="E113" s="157"/>
      <c r="F113" s="202">
        <v>34300000</v>
      </c>
      <c r="G113" s="174">
        <v>34285000</v>
      </c>
      <c r="H113" s="119">
        <f t="shared" si="8"/>
        <v>99.95626822157433</v>
      </c>
      <c r="I113" s="120"/>
      <c r="J113" s="201" t="s">
        <v>175</v>
      </c>
    </row>
    <row r="114" spans="1:9" s="201" customFormat="1" ht="25.5">
      <c r="A114" s="198" t="s">
        <v>32</v>
      </c>
      <c r="B114" s="155" t="s">
        <v>241</v>
      </c>
      <c r="C114" s="156">
        <f t="shared" si="7"/>
        <v>363592000</v>
      </c>
      <c r="D114" s="132"/>
      <c r="E114" s="157"/>
      <c r="F114" s="203">
        <v>363592000</v>
      </c>
      <c r="G114" s="174">
        <f>F114</f>
        <v>363592000</v>
      </c>
      <c r="H114" s="119">
        <f t="shared" si="8"/>
        <v>100</v>
      </c>
      <c r="I114" s="120"/>
    </row>
    <row r="115" spans="1:10" s="201" customFormat="1" ht="51">
      <c r="A115" s="198" t="s">
        <v>32</v>
      </c>
      <c r="B115" s="155" t="s">
        <v>242</v>
      </c>
      <c r="C115" s="156">
        <f t="shared" si="7"/>
        <v>358870000</v>
      </c>
      <c r="D115" s="157"/>
      <c r="E115" s="157"/>
      <c r="F115" s="175">
        <v>358870000</v>
      </c>
      <c r="G115" s="174"/>
      <c r="H115" s="119">
        <f t="shared" si="8"/>
        <v>0</v>
      </c>
      <c r="I115" s="120"/>
      <c r="J115" s="201" t="s">
        <v>243</v>
      </c>
    </row>
    <row r="116" spans="1:10" ht="51">
      <c r="A116" s="198" t="s">
        <v>32</v>
      </c>
      <c r="B116" s="204" t="s">
        <v>244</v>
      </c>
      <c r="C116" s="205">
        <f t="shared" si="7"/>
        <v>206100000</v>
      </c>
      <c r="D116" s="206"/>
      <c r="E116" s="206"/>
      <c r="F116" s="207">
        <v>206100000</v>
      </c>
      <c r="G116" s="208"/>
      <c r="H116" s="119">
        <f t="shared" si="8"/>
        <v>0</v>
      </c>
      <c r="I116" s="120"/>
      <c r="J116" s="160" t="s">
        <v>245</v>
      </c>
    </row>
    <row r="117" spans="1:9" ht="14.25">
      <c r="A117" s="209"/>
      <c r="B117" s="210"/>
      <c r="C117" s="211"/>
      <c r="D117" s="212"/>
      <c r="E117" s="212"/>
      <c r="F117" s="213"/>
      <c r="G117" s="214"/>
      <c r="H117" s="176"/>
      <c r="I117" s="177"/>
    </row>
    <row r="118" spans="1:9" ht="14.25">
      <c r="A118" s="215"/>
      <c r="B118" s="216"/>
      <c r="C118" s="215"/>
      <c r="D118" s="215"/>
      <c r="E118" s="215"/>
      <c r="F118" s="215"/>
      <c r="G118" s="215"/>
      <c r="H118" s="215"/>
      <c r="I118" s="217"/>
    </row>
    <row r="120" ht="14.25">
      <c r="D120" s="218">
        <v>31764014429</v>
      </c>
    </row>
    <row r="121" ht="14.25">
      <c r="D121" s="218"/>
    </row>
    <row r="122" ht="14.25">
      <c r="D122" s="218">
        <v>15585000000</v>
      </c>
    </row>
    <row r="124" spans="3:4" ht="14.25">
      <c r="C124" s="160" t="s">
        <v>246</v>
      </c>
      <c r="D124" s="219">
        <f>D120+D121+D122</f>
        <v>47349014429</v>
      </c>
    </row>
    <row r="125" ht="14.25">
      <c r="D125" s="218"/>
    </row>
    <row r="126" spans="3:4" ht="14.25">
      <c r="C126" s="160" t="s">
        <v>247</v>
      </c>
      <c r="D126" s="160">
        <v>10046915027</v>
      </c>
    </row>
    <row r="128" ht="14.25">
      <c r="D128" s="219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"/>
    </sheetView>
  </sheetViews>
  <sheetFormatPr defaultColWidth="9.125" defaultRowHeight="14.25"/>
  <cols>
    <col min="1" max="1" width="6.125" style="160" customWidth="1"/>
    <col min="2" max="2" width="33.00390625" style="160" customWidth="1"/>
    <col min="3" max="3" width="16.375" style="160" hidden="1" customWidth="1"/>
    <col min="4" max="4" width="15.25390625" style="160" hidden="1" customWidth="1"/>
    <col min="5" max="5" width="17.125" style="160" customWidth="1"/>
    <col min="6" max="6" width="2.375" style="160" hidden="1" customWidth="1"/>
    <col min="7" max="7" width="17.50390625" style="160" customWidth="1"/>
    <col min="8" max="8" width="11.00390625" style="160" customWidth="1"/>
    <col min="9" max="9" width="28.375" style="160" hidden="1" customWidth="1"/>
    <col min="10" max="10" width="18.125" style="160" hidden="1" customWidth="1"/>
    <col min="11" max="11" width="17.875" style="160" hidden="1" customWidth="1"/>
    <col min="12" max="12" width="19.625" style="160" hidden="1" customWidth="1"/>
    <col min="13" max="13" width="17.00390625" style="160" hidden="1" customWidth="1"/>
    <col min="14" max="19" width="9.125" style="160" hidden="1" customWidth="1"/>
    <col min="20" max="20" width="2.375" style="160" customWidth="1"/>
    <col min="21" max="23" width="9.125" style="160" customWidth="1"/>
    <col min="24" max="16384" width="9.125" style="160" customWidth="1"/>
  </cols>
  <sheetData>
    <row r="1" spans="1:9" s="54" customFormat="1" ht="27" customHeight="1">
      <c r="A1" s="30" t="s">
        <v>56</v>
      </c>
      <c r="B1" s="31"/>
      <c r="C1" s="31"/>
      <c r="D1" s="31"/>
      <c r="E1" s="469" t="s">
        <v>102</v>
      </c>
      <c r="F1" s="469"/>
      <c r="G1" s="469"/>
      <c r="H1" s="469"/>
      <c r="I1" s="158"/>
    </row>
    <row r="2" spans="1:9" s="54" customFormat="1" ht="39" customHeight="1">
      <c r="A2" s="470" t="s">
        <v>253</v>
      </c>
      <c r="B2" s="470"/>
      <c r="C2" s="470"/>
      <c r="D2" s="470"/>
      <c r="E2" s="470"/>
      <c r="F2" s="470"/>
      <c r="G2" s="470"/>
      <c r="H2" s="470"/>
      <c r="I2" s="158"/>
    </row>
    <row r="3" spans="1:9" s="54" customFormat="1" ht="45" customHeight="1">
      <c r="A3" s="492" t="s">
        <v>255</v>
      </c>
      <c r="B3" s="492"/>
      <c r="C3" s="492"/>
      <c r="D3" s="492"/>
      <c r="E3" s="492"/>
      <c r="F3" s="492"/>
      <c r="G3" s="492"/>
      <c r="H3" s="492"/>
      <c r="I3" s="159"/>
    </row>
    <row r="4" spans="1:11" ht="19.5" customHeight="1">
      <c r="A4" s="108"/>
      <c r="B4" s="108"/>
      <c r="C4" s="108"/>
      <c r="D4" s="108"/>
      <c r="E4" s="493" t="s">
        <v>155</v>
      </c>
      <c r="F4" s="493"/>
      <c r="G4" s="493"/>
      <c r="H4" s="493"/>
      <c r="I4" s="109"/>
      <c r="K4" s="179">
        <f>G11+G35+G51+G102</f>
        <v>15747104000</v>
      </c>
    </row>
    <row r="5" spans="1:11" s="107" customFormat="1" ht="24.75" customHeight="1">
      <c r="A5" s="494" t="s">
        <v>0</v>
      </c>
      <c r="B5" s="494" t="s">
        <v>6</v>
      </c>
      <c r="C5" s="486" t="s">
        <v>249</v>
      </c>
      <c r="D5" s="487"/>
      <c r="E5" s="473" t="s">
        <v>249</v>
      </c>
      <c r="F5" s="474"/>
      <c r="G5" s="482" t="s">
        <v>254</v>
      </c>
      <c r="H5" s="479" t="s">
        <v>114</v>
      </c>
      <c r="I5" s="111"/>
      <c r="K5" s="112">
        <v>421648000000</v>
      </c>
    </row>
    <row r="6" spans="1:11" s="107" customFormat="1" ht="29.25" customHeight="1">
      <c r="A6" s="494"/>
      <c r="B6" s="494"/>
      <c r="C6" s="488"/>
      <c r="D6" s="489"/>
      <c r="E6" s="475"/>
      <c r="F6" s="476"/>
      <c r="G6" s="483"/>
      <c r="H6" s="480"/>
      <c r="I6" s="111"/>
      <c r="K6" s="110" t="s">
        <v>156</v>
      </c>
    </row>
    <row r="7" spans="1:13" s="107" customFormat="1" ht="37.5" customHeight="1">
      <c r="A7" s="494"/>
      <c r="B7" s="494"/>
      <c r="C7" s="490"/>
      <c r="D7" s="491"/>
      <c r="E7" s="477"/>
      <c r="F7" s="478"/>
      <c r="G7" s="484"/>
      <c r="H7" s="481"/>
      <c r="I7" s="111"/>
      <c r="K7" s="110">
        <f>L7+M7</f>
        <v>100918572617</v>
      </c>
      <c r="L7" s="113">
        <v>84183915352</v>
      </c>
      <c r="M7" s="113">
        <v>16734657265</v>
      </c>
    </row>
    <row r="8" spans="1:11" ht="14.25">
      <c r="A8" s="180" t="s">
        <v>7</v>
      </c>
      <c r="B8" s="180" t="s">
        <v>8</v>
      </c>
      <c r="C8" s="180">
        <v>1</v>
      </c>
      <c r="D8" s="180">
        <v>2</v>
      </c>
      <c r="E8" s="180">
        <v>3</v>
      </c>
      <c r="F8" s="180">
        <v>4</v>
      </c>
      <c r="G8" s="180">
        <v>5</v>
      </c>
      <c r="H8" s="180" t="s">
        <v>51</v>
      </c>
      <c r="I8" s="114"/>
      <c r="J8" s="160">
        <f>G9/E9*100</f>
        <v>17.732574930510758</v>
      </c>
      <c r="K8" s="115">
        <v>26149525074</v>
      </c>
    </row>
    <row r="9" spans="1:13" ht="20.25" customHeight="1">
      <c r="A9" s="116"/>
      <c r="B9" s="117" t="s">
        <v>9</v>
      </c>
      <c r="C9" s="118">
        <f>C10+C32</f>
        <v>572258791456</v>
      </c>
      <c r="D9" s="118">
        <f>D10+D32</f>
        <v>57395929456</v>
      </c>
      <c r="E9" s="118">
        <f>E10+E32</f>
        <v>421648000000</v>
      </c>
      <c r="F9" s="118">
        <f>F10+F32</f>
        <v>93214862000</v>
      </c>
      <c r="G9" s="118">
        <f>G10+G32</f>
        <v>74769047543</v>
      </c>
      <c r="H9" s="119">
        <f>G9/E9*100</f>
        <v>17.732574930510758</v>
      </c>
      <c r="I9" s="120" t="s">
        <v>157</v>
      </c>
      <c r="J9" s="179">
        <f>E9+F9</f>
        <v>514862862000</v>
      </c>
      <c r="K9" s="181">
        <f>K7-K8</f>
        <v>74769047543</v>
      </c>
      <c r="M9" s="179">
        <f>G9-K9</f>
        <v>0</v>
      </c>
    </row>
    <row r="10" spans="1:9" ht="14.25">
      <c r="A10" s="121" t="s">
        <v>7</v>
      </c>
      <c r="B10" s="122" t="s">
        <v>10</v>
      </c>
      <c r="C10" s="123">
        <f>C11+C16+C31</f>
        <v>366153782695</v>
      </c>
      <c r="D10" s="123">
        <f>D11+D16+D31</f>
        <v>6681782695</v>
      </c>
      <c r="E10" s="123">
        <f>E11+E16+E31</f>
        <v>359472000000</v>
      </c>
      <c r="F10" s="123">
        <f>F11+F16+F31</f>
        <v>0</v>
      </c>
      <c r="G10" s="123">
        <f>G11+G16+G31</f>
        <v>61593770484</v>
      </c>
      <c r="H10" s="119">
        <f aca="true" t="shared" si="0" ref="H10:H51">G10/E10*100</f>
        <v>17.13451130658299</v>
      </c>
      <c r="I10" s="120"/>
    </row>
    <row r="11" spans="1:11" ht="23.25" customHeight="1">
      <c r="A11" s="121" t="s">
        <v>3</v>
      </c>
      <c r="B11" s="122" t="s">
        <v>11</v>
      </c>
      <c r="C11" s="123">
        <f>SUM(C12:C14)</f>
        <v>23691707000</v>
      </c>
      <c r="D11" s="123">
        <f>SUM(D12:D14)</f>
        <v>2750000000</v>
      </c>
      <c r="E11" s="123">
        <f>SUM(E12:E14)</f>
        <v>20941707000</v>
      </c>
      <c r="F11" s="123"/>
      <c r="G11" s="123">
        <f>K11-G35-G51-G102</f>
        <v>3080241000</v>
      </c>
      <c r="H11" s="119">
        <f t="shared" si="0"/>
        <v>14.708643378498229</v>
      </c>
      <c r="I11" s="120">
        <f>G11+G35+G51+G102</f>
        <v>15747104000</v>
      </c>
      <c r="K11" s="123">
        <f>13621104000+2126000000</f>
        <v>15747104000</v>
      </c>
    </row>
    <row r="12" spans="1:9" ht="29.25" customHeight="1">
      <c r="A12" s="124">
        <v>1</v>
      </c>
      <c r="B12" s="125" t="s">
        <v>45</v>
      </c>
      <c r="C12" s="126">
        <f>SUM(D12:F12)</f>
        <v>10800000000</v>
      </c>
      <c r="D12" s="126"/>
      <c r="E12" s="126">
        <v>10800000000</v>
      </c>
      <c r="F12" s="126"/>
      <c r="G12" s="126">
        <v>607241000</v>
      </c>
      <c r="H12" s="119">
        <f t="shared" si="0"/>
        <v>5.622601851851852</v>
      </c>
      <c r="I12" s="120"/>
    </row>
    <row r="13" spans="1:10" ht="14.25">
      <c r="A13" s="124">
        <v>2</v>
      </c>
      <c r="B13" s="125" t="s">
        <v>47</v>
      </c>
      <c r="C13" s="126">
        <f>SUM(D13:F13)</f>
        <v>5653000000</v>
      </c>
      <c r="D13" s="126">
        <v>253000000</v>
      </c>
      <c r="E13" s="126">
        <f>2400000000+3000000000</f>
        <v>5400000000</v>
      </c>
      <c r="F13" s="126"/>
      <c r="G13" s="126">
        <v>500000000</v>
      </c>
      <c r="H13" s="119">
        <f t="shared" si="0"/>
        <v>9.25925925925926</v>
      </c>
      <c r="I13" s="120"/>
      <c r="J13" s="179">
        <f>G11-G12-G13</f>
        <v>1973000000</v>
      </c>
    </row>
    <row r="14" spans="1:14" ht="25.5">
      <c r="A14" s="124">
        <v>3</v>
      </c>
      <c r="B14" s="125" t="s">
        <v>158</v>
      </c>
      <c r="C14" s="126">
        <f>SUM(D14:F14)</f>
        <v>7238707000</v>
      </c>
      <c r="D14" s="126">
        <v>2497000000</v>
      </c>
      <c r="E14" s="127">
        <v>4741707000</v>
      </c>
      <c r="F14" s="126"/>
      <c r="G14" s="127">
        <v>1973000000</v>
      </c>
      <c r="H14" s="119">
        <f t="shared" si="0"/>
        <v>41.60948789117506</v>
      </c>
      <c r="I14" s="120"/>
      <c r="L14" s="179">
        <f>K11+K15</f>
        <v>74469047543</v>
      </c>
      <c r="M14" s="179">
        <f>K9-L14</f>
        <v>300000000</v>
      </c>
      <c r="N14" s="160" t="s">
        <v>159</v>
      </c>
    </row>
    <row r="15" spans="1:12" ht="15" hidden="1">
      <c r="A15" s="124"/>
      <c r="B15" s="125"/>
      <c r="C15" s="128"/>
      <c r="D15" s="126"/>
      <c r="E15" s="128"/>
      <c r="F15" s="126"/>
      <c r="G15" s="126"/>
      <c r="H15" s="119" t="e">
        <f t="shared" si="0"/>
        <v>#DIV/0!</v>
      </c>
      <c r="I15" s="129"/>
      <c r="K15" s="181">
        <f>K16+L16+M16</f>
        <v>58721943543</v>
      </c>
      <c r="L15" s="179">
        <f>K15+G35</f>
        <v>68634806543</v>
      </c>
    </row>
    <row r="16" spans="1:13" ht="27.75" customHeight="1">
      <c r="A16" s="121" t="s">
        <v>5</v>
      </c>
      <c r="B16" s="122" t="s">
        <v>4</v>
      </c>
      <c r="C16" s="130">
        <f>SUM(C17:C30)</f>
        <v>335149075695</v>
      </c>
      <c r="D16" s="130">
        <f>SUM(D17:D30)</f>
        <v>3931782695</v>
      </c>
      <c r="E16" s="130">
        <f>SUM(E17:E30)</f>
        <v>331217293000</v>
      </c>
      <c r="F16" s="130">
        <f>SUM(F17:F30)</f>
        <v>0</v>
      </c>
      <c r="G16" s="130">
        <f>SUM(G17:G30)</f>
        <v>58485979484</v>
      </c>
      <c r="H16" s="119">
        <f t="shared" si="0"/>
        <v>17.657888256456463</v>
      </c>
      <c r="I16" s="120">
        <f>G16+G31+G38+G52+G107</f>
        <v>59021943543</v>
      </c>
      <c r="J16" s="179">
        <f>+G31+G16+G38+G107-L16-M16-K16</f>
        <v>300000000</v>
      </c>
      <c r="K16" s="165">
        <v>43365417278</v>
      </c>
      <c r="L16" s="165">
        <v>14585722265</v>
      </c>
      <c r="M16" s="179">
        <f>747869000+22935000</f>
        <v>770804000</v>
      </c>
    </row>
    <row r="17" spans="1:12" ht="14.25">
      <c r="A17" s="124">
        <v>1</v>
      </c>
      <c r="B17" s="131" t="s">
        <v>12</v>
      </c>
      <c r="C17" s="126">
        <f>SUM(D17:F17)</f>
        <v>19737682470</v>
      </c>
      <c r="D17" s="132">
        <f>627749000+498193000+185600000+34300000+2009840470</f>
        <v>3355682470</v>
      </c>
      <c r="E17" s="126">
        <f>17691000000-E109</f>
        <v>16382000000</v>
      </c>
      <c r="F17" s="133"/>
      <c r="G17" s="134">
        <f>918967565+268697000-G109-G42-27550000-34285000+32669047</f>
        <v>1143961553</v>
      </c>
      <c r="H17" s="119">
        <f t="shared" si="0"/>
        <v>6.983039634965206</v>
      </c>
      <c r="I17" s="120"/>
      <c r="J17" s="179">
        <f>K9-G9</f>
        <v>0</v>
      </c>
      <c r="K17" s="126">
        <v>17691000</v>
      </c>
      <c r="L17" s="135" t="s">
        <v>160</v>
      </c>
    </row>
    <row r="18" spans="1:12" ht="14.25">
      <c r="A18" s="124">
        <v>2</v>
      </c>
      <c r="B18" s="131" t="s">
        <v>13</v>
      </c>
      <c r="C18" s="126">
        <f aca="true" t="shared" si="1" ref="C18:C30">SUM(D18:F18)</f>
        <v>186763905429</v>
      </c>
      <c r="D18" s="132">
        <v>12905429</v>
      </c>
      <c r="E18" s="126">
        <v>186751000000</v>
      </c>
      <c r="F18" s="133"/>
      <c r="G18" s="133">
        <v>33284356858</v>
      </c>
      <c r="H18" s="119">
        <f t="shared" si="0"/>
        <v>17.82285334911192</v>
      </c>
      <c r="I18" s="120"/>
      <c r="J18" s="179">
        <f>G16+G38++G52+G107</f>
        <v>58994393543</v>
      </c>
      <c r="K18" s="126">
        <v>400000</v>
      </c>
      <c r="L18" s="135" t="s">
        <v>161</v>
      </c>
    </row>
    <row r="19" spans="1:12" ht="14.25">
      <c r="A19" s="124">
        <v>3</v>
      </c>
      <c r="B19" s="131" t="s">
        <v>14</v>
      </c>
      <c r="C19" s="126">
        <f t="shared" si="1"/>
        <v>0</v>
      </c>
      <c r="D19" s="133"/>
      <c r="E19" s="126"/>
      <c r="F19" s="133"/>
      <c r="G19" s="133"/>
      <c r="H19" s="119"/>
      <c r="I19" s="136"/>
      <c r="K19" s="126">
        <v>99208970</v>
      </c>
      <c r="L19" s="135" t="s">
        <v>21</v>
      </c>
    </row>
    <row r="20" spans="1:12" ht="14.25">
      <c r="A20" s="124">
        <v>4</v>
      </c>
      <c r="B20" s="131" t="s">
        <v>162</v>
      </c>
      <c r="C20" s="126">
        <f t="shared" si="1"/>
        <v>0</v>
      </c>
      <c r="D20" s="133"/>
      <c r="E20" s="126"/>
      <c r="F20" s="133"/>
      <c r="G20" s="133"/>
      <c r="H20" s="119"/>
      <c r="I20" s="120"/>
      <c r="J20" s="179">
        <f>J18-K15</f>
        <v>272450000</v>
      </c>
      <c r="K20" s="126">
        <v>186751000</v>
      </c>
      <c r="L20" s="135" t="s">
        <v>163</v>
      </c>
    </row>
    <row r="21" spans="1:12" ht="14.25">
      <c r="A21" s="124">
        <v>5</v>
      </c>
      <c r="B21" s="131" t="s">
        <v>16</v>
      </c>
      <c r="C21" s="126">
        <f t="shared" si="1"/>
        <v>400000000</v>
      </c>
      <c r="D21" s="133"/>
      <c r="E21" s="126">
        <v>400000000</v>
      </c>
      <c r="F21" s="133"/>
      <c r="G21" s="133"/>
      <c r="H21" s="119">
        <f t="shared" si="0"/>
        <v>0</v>
      </c>
      <c r="I21" s="120"/>
      <c r="K21" s="126">
        <v>1831961</v>
      </c>
      <c r="L21" s="135" t="s">
        <v>164</v>
      </c>
    </row>
    <row r="22" spans="1:12" ht="14.25">
      <c r="A22" s="124">
        <v>6</v>
      </c>
      <c r="B22" s="131" t="s">
        <v>17</v>
      </c>
      <c r="C22" s="126">
        <f t="shared" si="1"/>
        <v>1831961000</v>
      </c>
      <c r="D22" s="133"/>
      <c r="E22" s="126">
        <v>1831961000</v>
      </c>
      <c r="F22" s="133"/>
      <c r="G22" s="133">
        <f>123344302+40209000</f>
        <v>163553302</v>
      </c>
      <c r="H22" s="119">
        <f t="shared" si="0"/>
        <v>8.927772043182141</v>
      </c>
      <c r="I22" s="120"/>
      <c r="K22" s="126">
        <v>190000</v>
      </c>
      <c r="L22" s="135" t="s">
        <v>165</v>
      </c>
    </row>
    <row r="23" spans="1:12" ht="14.25">
      <c r="A23" s="124">
        <v>7</v>
      </c>
      <c r="B23" s="131" t="s">
        <v>18</v>
      </c>
      <c r="C23" s="126">
        <f t="shared" si="1"/>
        <v>190000000</v>
      </c>
      <c r="D23" s="133"/>
      <c r="E23" s="126">
        <v>190000000</v>
      </c>
      <c r="F23" s="133"/>
      <c r="G23" s="133">
        <v>7710000</v>
      </c>
      <c r="H23" s="119">
        <f t="shared" si="0"/>
        <v>4.057894736842106</v>
      </c>
      <c r="I23" s="120"/>
      <c r="K23" s="126">
        <v>1234433</v>
      </c>
      <c r="L23" s="135" t="s">
        <v>166</v>
      </c>
    </row>
    <row r="24" spans="1:12" ht="14.25">
      <c r="A24" s="124">
        <v>8</v>
      </c>
      <c r="B24" s="131" t="s">
        <v>19</v>
      </c>
      <c r="C24" s="126">
        <f t="shared" si="1"/>
        <v>1234433000</v>
      </c>
      <c r="D24" s="133"/>
      <c r="E24" s="126">
        <v>1234433000</v>
      </c>
      <c r="F24" s="133"/>
      <c r="G24" s="133">
        <f>200663361+20079650</f>
        <v>220743011</v>
      </c>
      <c r="H24" s="119">
        <f t="shared" si="0"/>
        <v>17.882137872205295</v>
      </c>
      <c r="I24" s="120"/>
      <c r="K24" s="126">
        <v>13729653</v>
      </c>
      <c r="L24" s="135" t="s">
        <v>167</v>
      </c>
    </row>
    <row r="25" spans="1:12" ht="14.25">
      <c r="A25" s="124">
        <v>9</v>
      </c>
      <c r="B25" s="131" t="s">
        <v>20</v>
      </c>
      <c r="C25" s="126">
        <f t="shared" si="1"/>
        <v>13659653000</v>
      </c>
      <c r="D25" s="133"/>
      <c r="E25" s="126">
        <f>13729653000-E110</f>
        <v>13659653000</v>
      </c>
      <c r="F25" s="133"/>
      <c r="G25" s="133">
        <f>2128931500+248430675</f>
        <v>2377362175</v>
      </c>
      <c r="H25" s="119">
        <f t="shared" si="0"/>
        <v>17.404264771586803</v>
      </c>
      <c r="I25" s="120"/>
      <c r="K25" s="126">
        <v>3354801</v>
      </c>
      <c r="L25" s="135" t="s">
        <v>168</v>
      </c>
    </row>
    <row r="26" spans="1:12" ht="14.25">
      <c r="A26" s="124">
        <v>10</v>
      </c>
      <c r="B26" s="131" t="s">
        <v>21</v>
      </c>
      <c r="C26" s="126">
        <f t="shared" si="1"/>
        <v>99772164796</v>
      </c>
      <c r="D26" s="133">
        <f>39030000+524164796</f>
        <v>563194796</v>
      </c>
      <c r="E26" s="126">
        <v>99208970000</v>
      </c>
      <c r="F26" s="133"/>
      <c r="G26" s="133">
        <f>5676484645+12140190760-G112-G114</f>
        <v>17357083405</v>
      </c>
      <c r="H26" s="119">
        <f t="shared" si="0"/>
        <v>17.495477883703458</v>
      </c>
      <c r="I26" s="120"/>
      <c r="K26" s="126">
        <v>8284475</v>
      </c>
      <c r="L26" s="135" t="s">
        <v>169</v>
      </c>
    </row>
    <row r="27" spans="1:12" ht="14.25">
      <c r="A27" s="124">
        <v>11</v>
      </c>
      <c r="B27" s="137" t="s">
        <v>22</v>
      </c>
      <c r="C27" s="126">
        <f t="shared" si="1"/>
        <v>3274801000</v>
      </c>
      <c r="D27" s="133"/>
      <c r="E27" s="126">
        <f>3354801000-E108</f>
        <v>3274801000</v>
      </c>
      <c r="F27" s="133"/>
      <c r="G27" s="133">
        <v>814367022</v>
      </c>
      <c r="H27" s="119">
        <f t="shared" si="0"/>
        <v>24.867679654427857</v>
      </c>
      <c r="I27" s="120"/>
      <c r="K27" s="126"/>
      <c r="L27" s="135" t="s">
        <v>170</v>
      </c>
    </row>
    <row r="28" spans="1:12" ht="14.25">
      <c r="A28" s="124">
        <v>12</v>
      </c>
      <c r="B28" s="138" t="s">
        <v>23</v>
      </c>
      <c r="C28" s="126">
        <f t="shared" si="1"/>
        <v>8284475000</v>
      </c>
      <c r="D28" s="133"/>
      <c r="E28" s="126">
        <v>8284475000</v>
      </c>
      <c r="F28" s="133"/>
      <c r="G28" s="133">
        <f>900000000+1046038158</f>
        <v>1946038158</v>
      </c>
      <c r="H28" s="119">
        <f t="shared" si="0"/>
        <v>23.490180826183916</v>
      </c>
      <c r="I28" s="120"/>
      <c r="K28" s="126">
        <v>3000000</v>
      </c>
      <c r="L28" s="135" t="s">
        <v>171</v>
      </c>
    </row>
    <row r="29" spans="1:12" ht="14.25">
      <c r="A29" s="124">
        <v>13</v>
      </c>
      <c r="B29" s="138" t="s">
        <v>172</v>
      </c>
      <c r="C29" s="126">
        <f t="shared" si="1"/>
        <v>0</v>
      </c>
      <c r="D29" s="133"/>
      <c r="E29" s="126"/>
      <c r="F29" s="133"/>
      <c r="G29" s="133">
        <v>100000000</v>
      </c>
      <c r="H29" s="119"/>
      <c r="I29" s="120"/>
      <c r="K29" s="128"/>
      <c r="L29" s="139"/>
    </row>
    <row r="30" spans="1:9" ht="14.25">
      <c r="A30" s="124">
        <v>14</v>
      </c>
      <c r="B30" s="138" t="s">
        <v>173</v>
      </c>
      <c r="C30" s="126">
        <f t="shared" si="1"/>
        <v>0</v>
      </c>
      <c r="D30" s="133"/>
      <c r="E30" s="126"/>
      <c r="F30" s="133"/>
      <c r="G30" s="133">
        <f>747869000+22935000+300000000</f>
        <v>1070804000</v>
      </c>
      <c r="H30" s="119"/>
      <c r="I30" s="120"/>
    </row>
    <row r="31" spans="1:9" ht="24.75" customHeight="1">
      <c r="A31" s="121" t="s">
        <v>24</v>
      </c>
      <c r="B31" s="122" t="s">
        <v>25</v>
      </c>
      <c r="C31" s="123">
        <f>SUM(D31:F31)</f>
        <v>7313000000</v>
      </c>
      <c r="D31" s="123"/>
      <c r="E31" s="123">
        <v>7313000000</v>
      </c>
      <c r="F31" s="123"/>
      <c r="G31" s="123">
        <v>27550000</v>
      </c>
      <c r="H31" s="119">
        <f t="shared" si="0"/>
        <v>0.3767263776835772</v>
      </c>
      <c r="I31" s="120"/>
    </row>
    <row r="32" spans="1:9" ht="47.25" customHeight="1">
      <c r="A32" s="121" t="s">
        <v>8</v>
      </c>
      <c r="B32" s="122" t="s">
        <v>48</v>
      </c>
      <c r="C32" s="123">
        <f>C33+C101</f>
        <v>206105008761</v>
      </c>
      <c r="D32" s="123">
        <f>D33+D101</f>
        <v>50714146761</v>
      </c>
      <c r="E32" s="123">
        <f>E33+E101</f>
        <v>62176000000</v>
      </c>
      <c r="F32" s="123">
        <f>F33+F101</f>
        <v>93214862000</v>
      </c>
      <c r="G32" s="123">
        <f>G33+G101</f>
        <v>13175277059</v>
      </c>
      <c r="H32" s="119">
        <f t="shared" si="0"/>
        <v>21.19029377734174</v>
      </c>
      <c r="I32" s="120"/>
    </row>
    <row r="33" spans="1:20" ht="21.75" customHeight="1">
      <c r="A33" s="121" t="s">
        <v>3</v>
      </c>
      <c r="B33" s="122" t="s">
        <v>26</v>
      </c>
      <c r="C33" s="123">
        <f>C34+C50</f>
        <v>184228897761</v>
      </c>
      <c r="D33" s="123">
        <f>D34+D50</f>
        <v>31855897761</v>
      </c>
      <c r="E33" s="123">
        <f>E34+E50</f>
        <v>60717000000</v>
      </c>
      <c r="F33" s="123">
        <f>F34+F50</f>
        <v>91656000000</v>
      </c>
      <c r="G33" s="123">
        <f>G34+G50</f>
        <v>12146243000</v>
      </c>
      <c r="H33" s="119">
        <f t="shared" si="0"/>
        <v>20.004682378905414</v>
      </c>
      <c r="I33" s="120"/>
      <c r="J33" s="179">
        <f>E33+F33</f>
        <v>152373000000</v>
      </c>
      <c r="T33" s="165">
        <v>31855897761</v>
      </c>
    </row>
    <row r="34" spans="1:20" ht="21" customHeight="1">
      <c r="A34" s="124">
        <v>1</v>
      </c>
      <c r="B34" s="125" t="s">
        <v>53</v>
      </c>
      <c r="C34" s="123">
        <f>C35+C38</f>
        <v>123275178385</v>
      </c>
      <c r="D34" s="123">
        <f>D35+D38</f>
        <v>25467178385</v>
      </c>
      <c r="E34" s="123">
        <f>E35+E38</f>
        <v>14888000000</v>
      </c>
      <c r="F34" s="123">
        <f>F35+F38</f>
        <v>82920000000</v>
      </c>
      <c r="G34" s="123">
        <f>G35+G38</f>
        <v>9916243000</v>
      </c>
      <c r="H34" s="119">
        <f t="shared" si="0"/>
        <v>66.60560854379366</v>
      </c>
      <c r="I34" s="120"/>
      <c r="T34" s="165"/>
    </row>
    <row r="35" spans="1:20" ht="22.5" customHeight="1">
      <c r="A35" s="124" t="s">
        <v>27</v>
      </c>
      <c r="B35" s="125" t="s">
        <v>28</v>
      </c>
      <c r="C35" s="126">
        <f>C36+C37</f>
        <v>110454178385</v>
      </c>
      <c r="D35" s="126">
        <f>D36+D37</f>
        <v>25467178385</v>
      </c>
      <c r="E35" s="126">
        <f>E36+E37</f>
        <v>6081000000</v>
      </c>
      <c r="F35" s="126">
        <f>F36+F37</f>
        <v>78906000000</v>
      </c>
      <c r="G35" s="126">
        <f>G36+G37</f>
        <v>9912863000</v>
      </c>
      <c r="H35" s="119">
        <f t="shared" si="0"/>
        <v>163.01369840486763</v>
      </c>
      <c r="I35" s="120"/>
      <c r="T35" s="179">
        <f>G35+G50</f>
        <v>12142863000</v>
      </c>
    </row>
    <row r="36" spans="1:20" ht="22.5" customHeight="1">
      <c r="A36" s="124" t="s">
        <v>32</v>
      </c>
      <c r="B36" s="140" t="s">
        <v>70</v>
      </c>
      <c r="C36" s="126">
        <f>SUM(D36:F36)</f>
        <v>12303268385</v>
      </c>
      <c r="D36" s="126">
        <f>5098078000+1124190385</f>
        <v>6222268385</v>
      </c>
      <c r="E36" s="126">
        <v>6081000000</v>
      </c>
      <c r="F36" s="126"/>
      <c r="G36" s="126">
        <f>2737190000+420000000</f>
        <v>3157190000</v>
      </c>
      <c r="H36" s="119">
        <f t="shared" si="0"/>
        <v>51.91892780792633</v>
      </c>
      <c r="I36" s="120"/>
      <c r="T36" s="179">
        <f>E34+E50</f>
        <v>60717000000</v>
      </c>
    </row>
    <row r="37" spans="1:9" ht="22.5" customHeight="1">
      <c r="A37" s="124" t="s">
        <v>32</v>
      </c>
      <c r="B37" s="141" t="s">
        <v>69</v>
      </c>
      <c r="C37" s="126">
        <f>SUM(D37:F37)</f>
        <v>98150910000</v>
      </c>
      <c r="D37" s="126">
        <v>19244910000</v>
      </c>
      <c r="E37" s="126"/>
      <c r="F37" s="126">
        <v>78906000000</v>
      </c>
      <c r="G37" s="126">
        <v>6755673000</v>
      </c>
      <c r="H37" s="119"/>
      <c r="I37" s="120"/>
    </row>
    <row r="38" spans="1:9" ht="32.25" customHeight="1">
      <c r="A38" s="124" t="s">
        <v>30</v>
      </c>
      <c r="B38" s="125" t="s">
        <v>44</v>
      </c>
      <c r="C38" s="123">
        <f>C39+C43</f>
        <v>12821000000</v>
      </c>
      <c r="D38" s="123">
        <f>D39+D43</f>
        <v>0</v>
      </c>
      <c r="E38" s="123">
        <f>E39+E43</f>
        <v>8807000000</v>
      </c>
      <c r="F38" s="123">
        <f>F39+F43</f>
        <v>4014000000</v>
      </c>
      <c r="G38" s="123">
        <f>G39+G43</f>
        <v>3380000</v>
      </c>
      <c r="H38" s="119">
        <f t="shared" si="0"/>
        <v>0.03837856250709663</v>
      </c>
      <c r="I38" s="120"/>
    </row>
    <row r="39" spans="1:9" ht="32.25" customHeight="1">
      <c r="A39" s="142" t="s">
        <v>174</v>
      </c>
      <c r="B39" s="143" t="s">
        <v>70</v>
      </c>
      <c r="C39" s="123">
        <f>SUM(C40:C42)</f>
        <v>4014000000</v>
      </c>
      <c r="D39" s="123">
        <f>SUM(D40:D42)</f>
        <v>0</v>
      </c>
      <c r="E39" s="123">
        <f>SUM(E40:E42)</f>
        <v>0</v>
      </c>
      <c r="F39" s="123">
        <f>SUM(F40:F42)</f>
        <v>4014000000</v>
      </c>
      <c r="G39" s="123">
        <f>SUM(G40:G42)</f>
        <v>3380000</v>
      </c>
      <c r="H39" s="119"/>
      <c r="I39" s="120"/>
    </row>
    <row r="40" spans="1:9" ht="14.25">
      <c r="A40" s="169" t="s">
        <v>43</v>
      </c>
      <c r="B40" s="182" t="s">
        <v>176</v>
      </c>
      <c r="C40" s="126">
        <f>SUM(D40:F40)</f>
        <v>849000000</v>
      </c>
      <c r="D40" s="126"/>
      <c r="E40" s="126">
        <f>'[1]Biểu số 02'!E13</f>
        <v>0</v>
      </c>
      <c r="F40" s="126">
        <f>'[1]Biểu số 02'!F13</f>
        <v>849000000</v>
      </c>
      <c r="G40" s="126">
        <f>'[1]Biểu số 02'!K13</f>
        <v>0</v>
      </c>
      <c r="H40" s="119"/>
      <c r="I40" s="120"/>
    </row>
    <row r="41" spans="1:9" ht="32.25" customHeight="1">
      <c r="A41" s="169" t="s">
        <v>43</v>
      </c>
      <c r="B41" s="144" t="s">
        <v>177</v>
      </c>
      <c r="C41" s="126">
        <f aca="true" t="shared" si="2" ref="C41:C100">SUM(D41:F41)</f>
        <v>2500000000</v>
      </c>
      <c r="D41" s="126"/>
      <c r="E41" s="126"/>
      <c r="F41" s="126">
        <f>'[1]Biểu số 02'!F29</f>
        <v>2500000000</v>
      </c>
      <c r="G41" s="126">
        <f>'[1]Biểu số 02'!K29</f>
        <v>0</v>
      </c>
      <c r="H41" s="119"/>
      <c r="I41" s="120"/>
    </row>
    <row r="42" spans="1:9" ht="32.25" customHeight="1">
      <c r="A42" s="169" t="s">
        <v>43</v>
      </c>
      <c r="B42" s="144" t="s">
        <v>178</v>
      </c>
      <c r="C42" s="126">
        <f>SUM(D42:F42)</f>
        <v>665000000</v>
      </c>
      <c r="D42" s="126"/>
      <c r="E42" s="126"/>
      <c r="F42" s="126">
        <f>'[1]Biểu số 02'!F45</f>
        <v>665000000</v>
      </c>
      <c r="G42" s="126">
        <f>'[1]Biểu số 02'!K45</f>
        <v>3380000</v>
      </c>
      <c r="H42" s="119"/>
      <c r="I42" s="120"/>
    </row>
    <row r="43" spans="1:9" s="178" customFormat="1" ht="15">
      <c r="A43" s="183" t="s">
        <v>179</v>
      </c>
      <c r="B43" s="145" t="s">
        <v>69</v>
      </c>
      <c r="C43" s="123">
        <f>SUM(D43:F43)</f>
        <v>8807000000</v>
      </c>
      <c r="D43" s="123"/>
      <c r="E43" s="123">
        <f>SUM(E44:E49)</f>
        <v>8807000000</v>
      </c>
      <c r="F43" s="123"/>
      <c r="G43" s="123"/>
      <c r="H43" s="119">
        <f t="shared" si="0"/>
        <v>0</v>
      </c>
      <c r="I43" s="120"/>
    </row>
    <row r="44" spans="1:9" ht="32.25" customHeight="1">
      <c r="A44" s="184" t="s">
        <v>32</v>
      </c>
      <c r="B44" s="182" t="s">
        <v>180</v>
      </c>
      <c r="C44" s="123">
        <f t="shared" si="2"/>
        <v>5880000000</v>
      </c>
      <c r="D44" s="126"/>
      <c r="E44" s="126">
        <f>'[1]Biểu số 02'!E47</f>
        <v>5880000000</v>
      </c>
      <c r="F44" s="126"/>
      <c r="G44" s="126"/>
      <c r="H44" s="119">
        <f t="shared" si="0"/>
        <v>0</v>
      </c>
      <c r="I44" s="120"/>
    </row>
    <row r="45" spans="1:9" ht="32.25" customHeight="1">
      <c r="A45" s="184" t="s">
        <v>32</v>
      </c>
      <c r="B45" s="182" t="s">
        <v>181</v>
      </c>
      <c r="C45" s="123">
        <f t="shared" si="2"/>
        <v>1620000000</v>
      </c>
      <c r="D45" s="126"/>
      <c r="E45" s="126">
        <f>'[1]Biểu số 02'!E63</f>
        <v>1620000000</v>
      </c>
      <c r="F45" s="126"/>
      <c r="G45" s="126"/>
      <c r="H45" s="119">
        <f t="shared" si="0"/>
        <v>0</v>
      </c>
      <c r="I45" s="120"/>
    </row>
    <row r="46" spans="1:9" ht="32.25" customHeight="1">
      <c r="A46" s="184" t="s">
        <v>32</v>
      </c>
      <c r="B46" s="144" t="s">
        <v>182</v>
      </c>
      <c r="C46" s="123">
        <f t="shared" si="2"/>
        <v>600000000</v>
      </c>
      <c r="D46" s="126"/>
      <c r="E46" s="126">
        <f>'[1]Biểu số 02'!E71</f>
        <v>600000000</v>
      </c>
      <c r="F46" s="126"/>
      <c r="G46" s="126"/>
      <c r="H46" s="119">
        <f t="shared" si="0"/>
        <v>0</v>
      </c>
      <c r="I46" s="120"/>
    </row>
    <row r="47" spans="1:9" ht="32.25" customHeight="1">
      <c r="A47" s="184" t="s">
        <v>32</v>
      </c>
      <c r="B47" s="144" t="s">
        <v>183</v>
      </c>
      <c r="C47" s="123">
        <f t="shared" si="2"/>
        <v>596000000</v>
      </c>
      <c r="D47" s="126"/>
      <c r="E47" s="126">
        <f>'[1]Biểu số 02'!E73</f>
        <v>596000000</v>
      </c>
      <c r="F47" s="126"/>
      <c r="G47" s="126"/>
      <c r="H47" s="119">
        <f t="shared" si="0"/>
        <v>0</v>
      </c>
      <c r="I47" s="120"/>
    </row>
    <row r="48" spans="1:9" ht="32.25" customHeight="1">
      <c r="A48" s="183" t="s">
        <v>184</v>
      </c>
      <c r="B48" s="144" t="s">
        <v>185</v>
      </c>
      <c r="C48" s="123">
        <f t="shared" si="2"/>
        <v>32000000</v>
      </c>
      <c r="D48" s="126"/>
      <c r="E48" s="126">
        <f>'[1]Biểu số 02'!E75</f>
        <v>32000000</v>
      </c>
      <c r="F48" s="126"/>
      <c r="G48" s="126"/>
      <c r="H48" s="119">
        <f t="shared" si="0"/>
        <v>0</v>
      </c>
      <c r="I48" s="120"/>
    </row>
    <row r="49" spans="1:9" ht="32.25" customHeight="1">
      <c r="A49" s="183" t="s">
        <v>186</v>
      </c>
      <c r="B49" s="144" t="s">
        <v>187</v>
      </c>
      <c r="C49" s="123">
        <f t="shared" si="2"/>
        <v>79000000</v>
      </c>
      <c r="D49" s="126"/>
      <c r="E49" s="126">
        <f>'[1]Biểu số 02'!E77</f>
        <v>79000000</v>
      </c>
      <c r="F49" s="126"/>
      <c r="G49" s="126"/>
      <c r="H49" s="119">
        <f t="shared" si="0"/>
        <v>0</v>
      </c>
      <c r="I49" s="120"/>
    </row>
    <row r="50" spans="1:9" s="178" customFormat="1" ht="27.75" customHeight="1">
      <c r="A50" s="121">
        <v>2</v>
      </c>
      <c r="B50" s="122" t="s">
        <v>54</v>
      </c>
      <c r="C50" s="123">
        <f>C51+C52</f>
        <v>60953719376</v>
      </c>
      <c r="D50" s="123">
        <f>D51+D52</f>
        <v>6388719376</v>
      </c>
      <c r="E50" s="123">
        <f>E51+E52</f>
        <v>45829000000</v>
      </c>
      <c r="F50" s="123">
        <f>F51+F52</f>
        <v>8736000000</v>
      </c>
      <c r="G50" s="123">
        <f>G51+G52</f>
        <v>2230000000</v>
      </c>
      <c r="H50" s="119">
        <f t="shared" si="0"/>
        <v>4.865914595561762</v>
      </c>
      <c r="I50" s="120"/>
    </row>
    <row r="51" spans="1:9" ht="28.5" customHeight="1">
      <c r="A51" s="124" t="s">
        <v>89</v>
      </c>
      <c r="B51" s="125" t="s">
        <v>28</v>
      </c>
      <c r="C51" s="126">
        <f t="shared" si="2"/>
        <v>52217719376</v>
      </c>
      <c r="D51" s="126">
        <v>6388719376</v>
      </c>
      <c r="E51" s="126">
        <v>45829000000</v>
      </c>
      <c r="F51" s="126"/>
      <c r="G51" s="126">
        <f>1706000000+524000000</f>
        <v>2230000000</v>
      </c>
      <c r="H51" s="119">
        <f t="shared" si="0"/>
        <v>4.865914595561762</v>
      </c>
      <c r="I51" s="120"/>
    </row>
    <row r="52" spans="1:9" ht="30.75" customHeight="1">
      <c r="A52" s="124" t="s">
        <v>90</v>
      </c>
      <c r="B52" s="125" t="s">
        <v>44</v>
      </c>
      <c r="C52" s="123">
        <f>C53+C60+C63+C67+C68+C69+C72+C73+C85+C87</f>
        <v>8736000000</v>
      </c>
      <c r="D52" s="123">
        <f>D53+D60+D63+D67+D68+D69+D72+D73+D85+D87</f>
        <v>0</v>
      </c>
      <c r="E52" s="123"/>
      <c r="F52" s="123">
        <f>F53+F60+F63+F67+F68+F69+F72+F73+F85+F87</f>
        <v>8736000000</v>
      </c>
      <c r="G52" s="123">
        <f>G53+G60+G63+G67+G68+G69+G72+G73+G85+G87</f>
        <v>0</v>
      </c>
      <c r="H52" s="119"/>
      <c r="I52" s="120"/>
    </row>
    <row r="53" spans="1:9" ht="25.5">
      <c r="A53" s="121" t="s">
        <v>43</v>
      </c>
      <c r="B53" s="146" t="s">
        <v>188</v>
      </c>
      <c r="C53" s="123">
        <f t="shared" si="2"/>
        <v>1309000000</v>
      </c>
      <c r="D53" s="126"/>
      <c r="E53" s="126"/>
      <c r="F53" s="126">
        <f>'[1]Biểu số 02'!F81</f>
        <v>1309000000</v>
      </c>
      <c r="G53" s="126"/>
      <c r="H53" s="119"/>
      <c r="I53" s="120"/>
    </row>
    <row r="54" spans="1:9" ht="15.75" hidden="1">
      <c r="A54" s="185">
        <v>1</v>
      </c>
      <c r="B54" s="186" t="s">
        <v>189</v>
      </c>
      <c r="C54" s="123">
        <f t="shared" si="2"/>
        <v>0</v>
      </c>
      <c r="D54" s="126"/>
      <c r="E54" s="126"/>
      <c r="F54" s="126"/>
      <c r="G54" s="126"/>
      <c r="H54" s="119"/>
      <c r="I54" s="120"/>
    </row>
    <row r="55" spans="1:9" ht="15.75" hidden="1">
      <c r="A55" s="185">
        <v>2</v>
      </c>
      <c r="B55" s="170" t="s">
        <v>190</v>
      </c>
      <c r="C55" s="123">
        <f t="shared" si="2"/>
        <v>0</v>
      </c>
      <c r="D55" s="126"/>
      <c r="E55" s="126"/>
      <c r="F55" s="126"/>
      <c r="G55" s="126"/>
      <c r="H55" s="119"/>
      <c r="I55" s="120"/>
    </row>
    <row r="56" spans="1:9" ht="15.75" hidden="1">
      <c r="A56" s="185">
        <v>3</v>
      </c>
      <c r="B56" s="170" t="s">
        <v>191</v>
      </c>
      <c r="C56" s="123">
        <f t="shared" si="2"/>
        <v>0</v>
      </c>
      <c r="D56" s="126"/>
      <c r="E56" s="126"/>
      <c r="F56" s="126"/>
      <c r="G56" s="126"/>
      <c r="H56" s="119"/>
      <c r="I56" s="120"/>
    </row>
    <row r="57" spans="1:9" ht="15.75" hidden="1">
      <c r="A57" s="185">
        <v>4</v>
      </c>
      <c r="B57" s="170" t="s">
        <v>192</v>
      </c>
      <c r="C57" s="123">
        <f t="shared" si="2"/>
        <v>0</v>
      </c>
      <c r="D57" s="126"/>
      <c r="E57" s="126"/>
      <c r="F57" s="126"/>
      <c r="G57" s="126"/>
      <c r="H57" s="119"/>
      <c r="I57" s="120"/>
    </row>
    <row r="58" spans="1:9" ht="15.75" hidden="1">
      <c r="A58" s="185">
        <v>5</v>
      </c>
      <c r="B58" s="170" t="s">
        <v>193</v>
      </c>
      <c r="C58" s="123">
        <f t="shared" si="2"/>
        <v>0</v>
      </c>
      <c r="D58" s="126"/>
      <c r="E58" s="126"/>
      <c r="F58" s="126"/>
      <c r="G58" s="126"/>
      <c r="H58" s="119"/>
      <c r="I58" s="120"/>
    </row>
    <row r="59" spans="1:9" ht="15.75" hidden="1">
      <c r="A59" s="185">
        <v>6</v>
      </c>
      <c r="B59" s="170" t="s">
        <v>194</v>
      </c>
      <c r="C59" s="123">
        <f t="shared" si="2"/>
        <v>0</v>
      </c>
      <c r="D59" s="126"/>
      <c r="E59" s="126"/>
      <c r="F59" s="126"/>
      <c r="G59" s="126"/>
      <c r="H59" s="119"/>
      <c r="I59" s="120"/>
    </row>
    <row r="60" spans="1:9" ht="14.25">
      <c r="A60" s="187" t="s">
        <v>43</v>
      </c>
      <c r="B60" s="147" t="s">
        <v>82</v>
      </c>
      <c r="C60" s="123">
        <f t="shared" si="2"/>
        <v>1007000000</v>
      </c>
      <c r="D60" s="126"/>
      <c r="E60" s="126"/>
      <c r="F60" s="126">
        <f>'[1]Biểu số 02'!F88</f>
        <v>1007000000</v>
      </c>
      <c r="G60" s="126"/>
      <c r="H60" s="119"/>
      <c r="I60" s="120"/>
    </row>
    <row r="61" spans="1:9" ht="63" hidden="1">
      <c r="A61" s="187" t="s">
        <v>43</v>
      </c>
      <c r="B61" s="188" t="s">
        <v>195</v>
      </c>
      <c r="C61" s="123">
        <f t="shared" si="2"/>
        <v>0</v>
      </c>
      <c r="D61" s="126"/>
      <c r="E61" s="126"/>
      <c r="F61" s="126"/>
      <c r="G61" s="126"/>
      <c r="H61" s="119"/>
      <c r="I61" s="120"/>
    </row>
    <row r="62" spans="1:9" ht="30.75" customHeight="1" hidden="1">
      <c r="A62" s="187" t="s">
        <v>43</v>
      </c>
      <c r="B62" s="188" t="s">
        <v>196</v>
      </c>
      <c r="C62" s="123">
        <f t="shared" si="2"/>
        <v>0</v>
      </c>
      <c r="D62" s="126"/>
      <c r="E62" s="126"/>
      <c r="F62" s="126"/>
      <c r="G62" s="126"/>
      <c r="H62" s="119"/>
      <c r="I62" s="120"/>
    </row>
    <row r="63" spans="1:9" ht="30.75" customHeight="1">
      <c r="A63" s="187" t="s">
        <v>43</v>
      </c>
      <c r="B63" s="147" t="s">
        <v>83</v>
      </c>
      <c r="C63" s="123">
        <f t="shared" si="2"/>
        <v>250000000</v>
      </c>
      <c r="D63" s="126"/>
      <c r="E63" s="126"/>
      <c r="F63" s="126">
        <f>'[1]Biểu số 02'!F91</f>
        <v>250000000</v>
      </c>
      <c r="G63" s="126"/>
      <c r="H63" s="119"/>
      <c r="I63" s="120"/>
    </row>
    <row r="64" spans="1:9" ht="30.75" customHeight="1" hidden="1">
      <c r="A64" s="187" t="s">
        <v>43</v>
      </c>
      <c r="B64" s="189" t="s">
        <v>197</v>
      </c>
      <c r="C64" s="123">
        <f t="shared" si="2"/>
        <v>0</v>
      </c>
      <c r="D64" s="126"/>
      <c r="E64" s="126"/>
      <c r="F64" s="126"/>
      <c r="G64" s="126"/>
      <c r="H64" s="119"/>
      <c r="I64" s="120"/>
    </row>
    <row r="65" spans="1:9" ht="30.75" customHeight="1" hidden="1">
      <c r="A65" s="187" t="s">
        <v>43</v>
      </c>
      <c r="B65" s="189" t="s">
        <v>198</v>
      </c>
      <c r="C65" s="123">
        <f t="shared" si="2"/>
        <v>0</v>
      </c>
      <c r="D65" s="126"/>
      <c r="E65" s="126"/>
      <c r="F65" s="126"/>
      <c r="G65" s="126"/>
      <c r="H65" s="119"/>
      <c r="I65" s="120"/>
    </row>
    <row r="66" spans="1:9" ht="30.75" customHeight="1" hidden="1">
      <c r="A66" s="187" t="s">
        <v>43</v>
      </c>
      <c r="B66" s="189" t="s">
        <v>199</v>
      </c>
      <c r="C66" s="123">
        <f t="shared" si="2"/>
        <v>0</v>
      </c>
      <c r="D66" s="126"/>
      <c r="E66" s="126"/>
      <c r="F66" s="126"/>
      <c r="G66" s="126"/>
      <c r="H66" s="119"/>
      <c r="I66" s="120"/>
    </row>
    <row r="67" spans="1:9" ht="30.75" customHeight="1">
      <c r="A67" s="187" t="s">
        <v>43</v>
      </c>
      <c r="B67" s="147" t="s">
        <v>200</v>
      </c>
      <c r="C67" s="123">
        <f t="shared" si="2"/>
        <v>100000000</v>
      </c>
      <c r="D67" s="126"/>
      <c r="E67" s="126"/>
      <c r="F67" s="126">
        <f>'[1]Biểu số 02'!F95</f>
        <v>100000000</v>
      </c>
      <c r="G67" s="126"/>
      <c r="H67" s="119"/>
      <c r="I67" s="120"/>
    </row>
    <row r="68" spans="1:9" ht="30.75" customHeight="1">
      <c r="A68" s="187" t="s">
        <v>43</v>
      </c>
      <c r="B68" s="147" t="s">
        <v>201</v>
      </c>
      <c r="C68" s="123">
        <f t="shared" si="2"/>
        <v>130000000</v>
      </c>
      <c r="D68" s="126"/>
      <c r="E68" s="126"/>
      <c r="F68" s="126">
        <f>'[1]Biểu số 02'!F96</f>
        <v>130000000</v>
      </c>
      <c r="G68" s="126"/>
      <c r="H68" s="119"/>
      <c r="I68" s="120"/>
    </row>
    <row r="69" spans="1:9" ht="30.75" customHeight="1">
      <c r="A69" s="187" t="s">
        <v>43</v>
      </c>
      <c r="B69" s="147" t="s">
        <v>202</v>
      </c>
      <c r="C69" s="123">
        <f t="shared" si="2"/>
        <v>2000000000</v>
      </c>
      <c r="D69" s="126"/>
      <c r="E69" s="126"/>
      <c r="F69" s="126">
        <f>'[1]Biểu số 02'!F97</f>
        <v>2000000000</v>
      </c>
      <c r="G69" s="126"/>
      <c r="H69" s="119"/>
      <c r="I69" s="120"/>
    </row>
    <row r="70" spans="1:9" ht="30.75" customHeight="1" hidden="1">
      <c r="A70" s="187" t="s">
        <v>43</v>
      </c>
      <c r="B70" s="190" t="s">
        <v>203</v>
      </c>
      <c r="C70" s="123">
        <f t="shared" si="2"/>
        <v>0</v>
      </c>
      <c r="D70" s="126"/>
      <c r="E70" s="126"/>
      <c r="F70" s="126"/>
      <c r="G70" s="126"/>
      <c r="H70" s="119"/>
      <c r="I70" s="120"/>
    </row>
    <row r="71" spans="1:9" ht="30.75" customHeight="1" hidden="1">
      <c r="A71" s="187" t="s">
        <v>43</v>
      </c>
      <c r="B71" s="190" t="s">
        <v>204</v>
      </c>
      <c r="C71" s="123">
        <f t="shared" si="2"/>
        <v>0</v>
      </c>
      <c r="D71" s="126"/>
      <c r="E71" s="126"/>
      <c r="F71" s="126"/>
      <c r="G71" s="126"/>
      <c r="H71" s="119"/>
      <c r="I71" s="120"/>
    </row>
    <row r="72" spans="1:9" ht="30.75" customHeight="1">
      <c r="A72" s="187" t="s">
        <v>43</v>
      </c>
      <c r="B72" s="147" t="s">
        <v>205</v>
      </c>
      <c r="C72" s="123">
        <f t="shared" si="2"/>
        <v>500000000</v>
      </c>
      <c r="D72" s="126"/>
      <c r="E72" s="126"/>
      <c r="F72" s="126">
        <f>'[1]Biểu số 02'!F100</f>
        <v>500000000</v>
      </c>
      <c r="G72" s="126"/>
      <c r="H72" s="119"/>
      <c r="I72" s="120"/>
    </row>
    <row r="73" spans="1:9" ht="30.75" customHeight="1">
      <c r="A73" s="187" t="s">
        <v>43</v>
      </c>
      <c r="B73" s="147" t="s">
        <v>206</v>
      </c>
      <c r="C73" s="123">
        <f t="shared" si="2"/>
        <v>2200000000</v>
      </c>
      <c r="D73" s="126"/>
      <c r="E73" s="126"/>
      <c r="F73" s="126">
        <f>'[1]Biểu số 02'!F101</f>
        <v>2200000000</v>
      </c>
      <c r="G73" s="126"/>
      <c r="H73" s="119"/>
      <c r="I73" s="120"/>
    </row>
    <row r="74" spans="1:9" ht="30.75" customHeight="1" hidden="1">
      <c r="A74" s="187" t="s">
        <v>43</v>
      </c>
      <c r="B74" s="191" t="s">
        <v>193</v>
      </c>
      <c r="C74" s="123">
        <f t="shared" si="2"/>
        <v>0</v>
      </c>
      <c r="D74" s="126"/>
      <c r="E74" s="126"/>
      <c r="F74" s="126"/>
      <c r="G74" s="126"/>
      <c r="H74" s="119" t="e">
        <f aca="true" t="shared" si="3" ref="H74:H110">G74/E74*100</f>
        <v>#DIV/0!</v>
      </c>
      <c r="I74" s="120"/>
    </row>
    <row r="75" spans="1:9" ht="30.75" customHeight="1" hidden="1">
      <c r="A75" s="187" t="s">
        <v>43</v>
      </c>
      <c r="B75" s="192" t="s">
        <v>192</v>
      </c>
      <c r="C75" s="123">
        <f t="shared" si="2"/>
        <v>0</v>
      </c>
      <c r="D75" s="126"/>
      <c r="E75" s="126"/>
      <c r="F75" s="126"/>
      <c r="G75" s="126"/>
      <c r="H75" s="119" t="e">
        <f t="shared" si="3"/>
        <v>#DIV/0!</v>
      </c>
      <c r="I75" s="120"/>
    </row>
    <row r="76" spans="1:9" ht="30.75" customHeight="1" hidden="1">
      <c r="A76" s="187" t="s">
        <v>43</v>
      </c>
      <c r="B76" s="192" t="s">
        <v>191</v>
      </c>
      <c r="C76" s="123">
        <f t="shared" si="2"/>
        <v>0</v>
      </c>
      <c r="D76" s="126"/>
      <c r="E76" s="126"/>
      <c r="F76" s="126"/>
      <c r="G76" s="126"/>
      <c r="H76" s="119" t="e">
        <f t="shared" si="3"/>
        <v>#DIV/0!</v>
      </c>
      <c r="I76" s="120"/>
    </row>
    <row r="77" spans="1:9" ht="30.75" customHeight="1" hidden="1">
      <c r="A77" s="187" t="s">
        <v>43</v>
      </c>
      <c r="B77" s="191" t="s">
        <v>207</v>
      </c>
      <c r="C77" s="123">
        <f t="shared" si="2"/>
        <v>0</v>
      </c>
      <c r="D77" s="126"/>
      <c r="E77" s="126"/>
      <c r="F77" s="126"/>
      <c r="G77" s="126"/>
      <c r="H77" s="119" t="e">
        <f t="shared" si="3"/>
        <v>#DIV/0!</v>
      </c>
      <c r="I77" s="120"/>
    </row>
    <row r="78" spans="1:9" ht="30.75" customHeight="1" hidden="1">
      <c r="A78" s="187" t="s">
        <v>43</v>
      </c>
      <c r="B78" s="192" t="s">
        <v>208</v>
      </c>
      <c r="C78" s="123">
        <f t="shared" si="2"/>
        <v>0</v>
      </c>
      <c r="D78" s="126"/>
      <c r="E78" s="126"/>
      <c r="F78" s="126"/>
      <c r="G78" s="126"/>
      <c r="H78" s="119" t="e">
        <f t="shared" si="3"/>
        <v>#DIV/0!</v>
      </c>
      <c r="I78" s="120"/>
    </row>
    <row r="79" spans="1:9" ht="30.75" customHeight="1" hidden="1">
      <c r="A79" s="187" t="s">
        <v>43</v>
      </c>
      <c r="B79" s="192" t="s">
        <v>189</v>
      </c>
      <c r="C79" s="123">
        <f t="shared" si="2"/>
        <v>0</v>
      </c>
      <c r="D79" s="126"/>
      <c r="E79" s="126"/>
      <c r="F79" s="126"/>
      <c r="G79" s="126"/>
      <c r="H79" s="119" t="e">
        <f t="shared" si="3"/>
        <v>#DIV/0!</v>
      </c>
      <c r="I79" s="120"/>
    </row>
    <row r="80" spans="1:9" ht="30.75" customHeight="1" hidden="1">
      <c r="A80" s="187" t="s">
        <v>43</v>
      </c>
      <c r="B80" s="192" t="s">
        <v>209</v>
      </c>
      <c r="C80" s="123">
        <f t="shared" si="2"/>
        <v>0</v>
      </c>
      <c r="D80" s="126"/>
      <c r="E80" s="126"/>
      <c r="F80" s="126"/>
      <c r="G80" s="126"/>
      <c r="H80" s="119" t="e">
        <f t="shared" si="3"/>
        <v>#DIV/0!</v>
      </c>
      <c r="I80" s="120"/>
    </row>
    <row r="81" spans="1:9" ht="30.75" customHeight="1" hidden="1">
      <c r="A81" s="187" t="s">
        <v>43</v>
      </c>
      <c r="B81" s="192" t="s">
        <v>210</v>
      </c>
      <c r="C81" s="123">
        <f t="shared" si="2"/>
        <v>0</v>
      </c>
      <c r="D81" s="126"/>
      <c r="E81" s="126"/>
      <c r="F81" s="126"/>
      <c r="G81" s="126"/>
      <c r="H81" s="119" t="e">
        <f t="shared" si="3"/>
        <v>#DIV/0!</v>
      </c>
      <c r="I81" s="120"/>
    </row>
    <row r="82" spans="1:9" ht="30.75" customHeight="1" hidden="1">
      <c r="A82" s="187" t="s">
        <v>43</v>
      </c>
      <c r="B82" s="191" t="s">
        <v>211</v>
      </c>
      <c r="C82" s="123">
        <f t="shared" si="2"/>
        <v>0</v>
      </c>
      <c r="D82" s="126"/>
      <c r="E82" s="126"/>
      <c r="F82" s="126"/>
      <c r="G82" s="126"/>
      <c r="H82" s="119" t="e">
        <f t="shared" si="3"/>
        <v>#DIV/0!</v>
      </c>
      <c r="I82" s="120"/>
    </row>
    <row r="83" spans="1:9" ht="30.75" customHeight="1" hidden="1">
      <c r="A83" s="187" t="s">
        <v>43</v>
      </c>
      <c r="B83" s="192" t="s">
        <v>212</v>
      </c>
      <c r="C83" s="123">
        <f t="shared" si="2"/>
        <v>0</v>
      </c>
      <c r="D83" s="126"/>
      <c r="E83" s="126"/>
      <c r="F83" s="126"/>
      <c r="G83" s="126"/>
      <c r="H83" s="119" t="e">
        <f t="shared" si="3"/>
        <v>#DIV/0!</v>
      </c>
      <c r="I83" s="120"/>
    </row>
    <row r="84" spans="1:9" ht="30.75" customHeight="1" hidden="1">
      <c r="A84" s="187" t="s">
        <v>43</v>
      </c>
      <c r="B84" s="192" t="s">
        <v>213</v>
      </c>
      <c r="C84" s="123">
        <f t="shared" si="2"/>
        <v>0</v>
      </c>
      <c r="D84" s="126"/>
      <c r="E84" s="126"/>
      <c r="F84" s="126"/>
      <c r="G84" s="126"/>
      <c r="H84" s="119" t="e">
        <f t="shared" si="3"/>
        <v>#DIV/0!</v>
      </c>
      <c r="I84" s="120"/>
    </row>
    <row r="85" spans="1:9" ht="25.5">
      <c r="A85" s="187" t="s">
        <v>43</v>
      </c>
      <c r="B85" s="147" t="s">
        <v>214</v>
      </c>
      <c r="C85" s="123">
        <f t="shared" si="2"/>
        <v>100000000</v>
      </c>
      <c r="D85" s="126"/>
      <c r="E85" s="126"/>
      <c r="F85" s="126">
        <f>'[1]Biểu số 02'!F113</f>
        <v>100000000</v>
      </c>
      <c r="G85" s="126"/>
      <c r="H85" s="119"/>
      <c r="I85" s="120"/>
    </row>
    <row r="86" spans="1:9" ht="30.75" customHeight="1" hidden="1">
      <c r="A86" s="187" t="s">
        <v>43</v>
      </c>
      <c r="B86" s="190" t="s">
        <v>215</v>
      </c>
      <c r="C86" s="123">
        <f t="shared" si="2"/>
        <v>0</v>
      </c>
      <c r="D86" s="126"/>
      <c r="E86" s="126"/>
      <c r="F86" s="126"/>
      <c r="G86" s="126"/>
      <c r="H86" s="119"/>
      <c r="I86" s="120"/>
    </row>
    <row r="87" spans="1:9" ht="25.5">
      <c r="A87" s="187" t="s">
        <v>43</v>
      </c>
      <c r="B87" s="147" t="s">
        <v>216</v>
      </c>
      <c r="C87" s="123">
        <f t="shared" si="2"/>
        <v>1140000000</v>
      </c>
      <c r="D87" s="126"/>
      <c r="E87" s="126"/>
      <c r="F87" s="126">
        <f>'[1]Biểu số 02'!F115</f>
        <v>1140000000</v>
      </c>
      <c r="G87" s="126"/>
      <c r="H87" s="119"/>
      <c r="I87" s="120"/>
    </row>
    <row r="88" spans="1:9" ht="30.75" customHeight="1" hidden="1">
      <c r="A88" s="185">
        <v>1</v>
      </c>
      <c r="B88" s="193" t="s">
        <v>217</v>
      </c>
      <c r="C88" s="123">
        <f t="shared" si="2"/>
        <v>100000000</v>
      </c>
      <c r="D88" s="126"/>
      <c r="E88" s="126">
        <f>'[1]Biểu số 02'!F116</f>
        <v>100000000</v>
      </c>
      <c r="F88" s="126"/>
      <c r="G88" s="126"/>
      <c r="H88" s="119">
        <f t="shared" si="3"/>
        <v>0</v>
      </c>
      <c r="I88" s="120"/>
    </row>
    <row r="89" spans="1:9" ht="30.75" customHeight="1" hidden="1">
      <c r="A89" s="185">
        <v>2</v>
      </c>
      <c r="B89" s="193" t="s">
        <v>218</v>
      </c>
      <c r="C89" s="123">
        <f t="shared" si="2"/>
        <v>100000000</v>
      </c>
      <c r="D89" s="126"/>
      <c r="E89" s="126">
        <f>'[1]Biểu số 02'!F117</f>
        <v>100000000</v>
      </c>
      <c r="F89" s="126"/>
      <c r="G89" s="126"/>
      <c r="H89" s="119">
        <f t="shared" si="3"/>
        <v>0</v>
      </c>
      <c r="I89" s="120"/>
    </row>
    <row r="90" spans="1:9" ht="30.75" customHeight="1" hidden="1">
      <c r="A90" s="185">
        <v>3</v>
      </c>
      <c r="B90" s="193" t="s">
        <v>219</v>
      </c>
      <c r="C90" s="123">
        <f t="shared" si="2"/>
        <v>100000000</v>
      </c>
      <c r="D90" s="126"/>
      <c r="E90" s="126">
        <f>'[1]Biểu số 02'!F118</f>
        <v>100000000</v>
      </c>
      <c r="F90" s="126"/>
      <c r="G90" s="126"/>
      <c r="H90" s="119">
        <f t="shared" si="3"/>
        <v>0</v>
      </c>
      <c r="I90" s="120"/>
    </row>
    <row r="91" spans="1:9" ht="30.75" customHeight="1" hidden="1">
      <c r="A91" s="185">
        <v>4</v>
      </c>
      <c r="B91" s="193" t="s">
        <v>220</v>
      </c>
      <c r="C91" s="123">
        <f t="shared" si="2"/>
        <v>100000000</v>
      </c>
      <c r="D91" s="126"/>
      <c r="E91" s="126">
        <f>'[1]Biểu số 02'!F119</f>
        <v>100000000</v>
      </c>
      <c r="F91" s="126"/>
      <c r="G91" s="126"/>
      <c r="H91" s="119">
        <f t="shared" si="3"/>
        <v>0</v>
      </c>
      <c r="I91" s="120"/>
    </row>
    <row r="92" spans="1:9" ht="15" hidden="1">
      <c r="A92" s="185">
        <v>5</v>
      </c>
      <c r="B92" s="193" t="s">
        <v>221</v>
      </c>
      <c r="C92" s="123">
        <f t="shared" si="2"/>
        <v>60000000</v>
      </c>
      <c r="D92" s="126"/>
      <c r="E92" s="126">
        <f>'[1]Biểu số 02'!F120</f>
        <v>60000000</v>
      </c>
      <c r="F92" s="126"/>
      <c r="G92" s="126"/>
      <c r="H92" s="119">
        <f t="shared" si="3"/>
        <v>0</v>
      </c>
      <c r="I92" s="120"/>
    </row>
    <row r="93" spans="1:9" ht="15" hidden="1">
      <c r="A93" s="185">
        <v>6</v>
      </c>
      <c r="B93" s="193" t="s">
        <v>222</v>
      </c>
      <c r="C93" s="123">
        <f t="shared" si="2"/>
        <v>70000000</v>
      </c>
      <c r="D93" s="126"/>
      <c r="E93" s="126">
        <f>'[1]Biểu số 02'!F121</f>
        <v>70000000</v>
      </c>
      <c r="F93" s="126"/>
      <c r="G93" s="126"/>
      <c r="H93" s="119">
        <f t="shared" si="3"/>
        <v>0</v>
      </c>
      <c r="I93" s="120"/>
    </row>
    <row r="94" spans="1:9" ht="15" hidden="1">
      <c r="A94" s="185">
        <v>7</v>
      </c>
      <c r="B94" s="193" t="s">
        <v>223</v>
      </c>
      <c r="C94" s="123">
        <f t="shared" si="2"/>
        <v>150000000</v>
      </c>
      <c r="D94" s="126"/>
      <c r="E94" s="126">
        <f>'[1]Biểu số 02'!F122</f>
        <v>150000000</v>
      </c>
      <c r="F94" s="126"/>
      <c r="G94" s="126"/>
      <c r="H94" s="119">
        <f t="shared" si="3"/>
        <v>0</v>
      </c>
      <c r="I94" s="120"/>
    </row>
    <row r="95" spans="1:9" ht="15" hidden="1">
      <c r="A95" s="185">
        <v>8</v>
      </c>
      <c r="B95" s="193" t="s">
        <v>224</v>
      </c>
      <c r="C95" s="123">
        <f>SUM(D95:F95)</f>
        <v>100000000</v>
      </c>
      <c r="D95" s="126"/>
      <c r="E95" s="126">
        <f>'[1]Biểu số 02'!F123</f>
        <v>100000000</v>
      </c>
      <c r="F95" s="126"/>
      <c r="G95" s="126"/>
      <c r="H95" s="119">
        <f t="shared" si="3"/>
        <v>0</v>
      </c>
      <c r="I95" s="120"/>
    </row>
    <row r="96" spans="1:9" ht="15" hidden="1">
      <c r="A96" s="185">
        <v>9</v>
      </c>
      <c r="B96" s="193" t="s">
        <v>225</v>
      </c>
      <c r="C96" s="126">
        <f t="shared" si="2"/>
        <v>100000000</v>
      </c>
      <c r="D96" s="126"/>
      <c r="E96" s="126">
        <f>'[1]Biểu số 02'!F124</f>
        <v>100000000</v>
      </c>
      <c r="F96" s="126"/>
      <c r="G96" s="126"/>
      <c r="H96" s="119">
        <f t="shared" si="3"/>
        <v>0</v>
      </c>
      <c r="I96" s="120"/>
    </row>
    <row r="97" spans="1:9" ht="15" hidden="1">
      <c r="A97" s="185">
        <v>10</v>
      </c>
      <c r="B97" s="193" t="s">
        <v>226</v>
      </c>
      <c r="C97" s="126">
        <f t="shared" si="2"/>
        <v>100000000</v>
      </c>
      <c r="D97" s="126"/>
      <c r="E97" s="126">
        <f>'[1]Biểu số 02'!F125</f>
        <v>100000000</v>
      </c>
      <c r="F97" s="126"/>
      <c r="G97" s="126"/>
      <c r="H97" s="119">
        <f t="shared" si="3"/>
        <v>0</v>
      </c>
      <c r="I97" s="120"/>
    </row>
    <row r="98" spans="1:9" ht="15" hidden="1">
      <c r="A98" s="185">
        <v>11</v>
      </c>
      <c r="B98" s="193" t="s">
        <v>189</v>
      </c>
      <c r="C98" s="126">
        <f t="shared" si="2"/>
        <v>100000000</v>
      </c>
      <c r="D98" s="126"/>
      <c r="E98" s="126">
        <f>'[1]Biểu số 02'!F126</f>
        <v>100000000</v>
      </c>
      <c r="F98" s="126"/>
      <c r="G98" s="126"/>
      <c r="H98" s="119">
        <f t="shared" si="3"/>
        <v>0</v>
      </c>
      <c r="I98" s="120"/>
    </row>
    <row r="99" spans="1:9" ht="15" hidden="1">
      <c r="A99" s="185">
        <v>12</v>
      </c>
      <c r="B99" s="193" t="s">
        <v>227</v>
      </c>
      <c r="C99" s="126">
        <f t="shared" si="2"/>
        <v>60000000</v>
      </c>
      <c r="D99" s="126"/>
      <c r="E99" s="126">
        <f>'[1]Biểu số 02'!F127</f>
        <v>60000000</v>
      </c>
      <c r="F99" s="126"/>
      <c r="G99" s="126"/>
      <c r="H99" s="119">
        <f t="shared" si="3"/>
        <v>0</v>
      </c>
      <c r="I99" s="120"/>
    </row>
    <row r="100" spans="1:9" ht="14.25" hidden="1">
      <c r="A100" s="124"/>
      <c r="B100" s="147"/>
      <c r="C100" s="126">
        <f t="shared" si="2"/>
        <v>0</v>
      </c>
      <c r="D100" s="126"/>
      <c r="E100" s="126"/>
      <c r="F100" s="126"/>
      <c r="G100" s="126"/>
      <c r="H100" s="119" t="e">
        <f t="shared" si="3"/>
        <v>#DIV/0!</v>
      </c>
      <c r="I100" s="129"/>
    </row>
    <row r="101" spans="1:9" ht="29.25" customHeight="1">
      <c r="A101" s="121" t="s">
        <v>5</v>
      </c>
      <c r="B101" s="122" t="s">
        <v>31</v>
      </c>
      <c r="C101" s="123">
        <f>C102+C107</f>
        <v>21876111000</v>
      </c>
      <c r="D101" s="123">
        <f>D102+D107</f>
        <v>18858249000</v>
      </c>
      <c r="E101" s="123">
        <f>E102+E107</f>
        <v>1459000000</v>
      </c>
      <c r="F101" s="123">
        <f>F102+F107</f>
        <v>1558862000</v>
      </c>
      <c r="G101" s="123">
        <f>G102+G107</f>
        <v>1029034059</v>
      </c>
      <c r="H101" s="119">
        <f t="shared" si="3"/>
        <v>70.5300931459904</v>
      </c>
      <c r="I101" s="120"/>
    </row>
    <row r="102" spans="1:9" s="178" customFormat="1" ht="21" customHeight="1">
      <c r="A102" s="194" t="s">
        <v>27</v>
      </c>
      <c r="B102" s="122" t="s">
        <v>28</v>
      </c>
      <c r="C102" s="123">
        <f>SUM(C103:C106)</f>
        <v>18858249000</v>
      </c>
      <c r="D102" s="123">
        <f>SUM(D103:D106)</f>
        <v>18858249000</v>
      </c>
      <c r="E102" s="123">
        <f>SUM(E103:E106)</f>
        <v>0</v>
      </c>
      <c r="F102" s="123">
        <f>SUM(F103:F106)</f>
        <v>0</v>
      </c>
      <c r="G102" s="123">
        <f>SUM(G103:G106)</f>
        <v>524000000</v>
      </c>
      <c r="H102" s="119"/>
      <c r="I102" s="120"/>
    </row>
    <row r="103" spans="1:9" ht="21" customHeight="1">
      <c r="A103" s="195" t="s">
        <v>43</v>
      </c>
      <c r="B103" s="171" t="s">
        <v>228</v>
      </c>
      <c r="C103" s="126">
        <f>D103+E103+F103</f>
        <v>16285000000</v>
      </c>
      <c r="D103" s="126">
        <f>700000000+15585000000</f>
        <v>16285000000</v>
      </c>
      <c r="E103" s="126"/>
      <c r="F103" s="149"/>
      <c r="G103" s="196"/>
      <c r="H103" s="119"/>
      <c r="I103" s="120"/>
    </row>
    <row r="104" spans="1:9" ht="27.75" customHeight="1">
      <c r="A104" s="195" t="s">
        <v>43</v>
      </c>
      <c r="B104" s="172" t="s">
        <v>229</v>
      </c>
      <c r="C104" s="126">
        <f>D104+E104+F104</f>
        <v>2508000000</v>
      </c>
      <c r="D104" s="148">
        <v>2508000000</v>
      </c>
      <c r="E104" s="148"/>
      <c r="F104" s="150"/>
      <c r="G104" s="196">
        <v>524000000</v>
      </c>
      <c r="H104" s="119"/>
      <c r="I104" s="120"/>
    </row>
    <row r="105" spans="1:9" ht="33" customHeight="1">
      <c r="A105" s="195" t="s">
        <v>43</v>
      </c>
      <c r="B105" s="172" t="s">
        <v>230</v>
      </c>
      <c r="C105" s="126">
        <f>D105+E105+F105</f>
        <v>65249000</v>
      </c>
      <c r="D105" s="148">
        <v>65249000</v>
      </c>
      <c r="E105" s="148"/>
      <c r="F105" s="150"/>
      <c r="G105" s="196"/>
      <c r="H105" s="119"/>
      <c r="I105" s="120"/>
    </row>
    <row r="106" spans="1:9" ht="21" customHeight="1" hidden="1">
      <c r="A106" s="195"/>
      <c r="B106" s="173"/>
      <c r="C106" s="148"/>
      <c r="D106" s="148"/>
      <c r="E106" s="148"/>
      <c r="F106" s="150"/>
      <c r="G106" s="196"/>
      <c r="H106" s="119" t="e">
        <f t="shared" si="3"/>
        <v>#DIV/0!</v>
      </c>
      <c r="I106" s="120"/>
    </row>
    <row r="107" spans="1:9" s="178" customFormat="1" ht="21" customHeight="1">
      <c r="A107" s="194" t="s">
        <v>30</v>
      </c>
      <c r="B107" s="122" t="s">
        <v>29</v>
      </c>
      <c r="C107" s="151">
        <f>SUM(C108:C117)</f>
        <v>3017862000</v>
      </c>
      <c r="D107" s="151">
        <f>SUM(D108:D117)</f>
        <v>0</v>
      </c>
      <c r="E107" s="151">
        <f>SUM(E108:E117)</f>
        <v>1459000000</v>
      </c>
      <c r="F107" s="151">
        <f>SUM(F108:F117)</f>
        <v>1558862000</v>
      </c>
      <c r="G107" s="151">
        <f>SUM(G108:G117)</f>
        <v>505034059</v>
      </c>
      <c r="H107" s="119">
        <f t="shared" si="3"/>
        <v>34.61508286497601</v>
      </c>
      <c r="I107" s="120"/>
    </row>
    <row r="108" spans="1:10" ht="46.5" customHeight="1">
      <c r="A108" s="197" t="s">
        <v>32</v>
      </c>
      <c r="B108" s="144" t="s">
        <v>231</v>
      </c>
      <c r="C108" s="152">
        <f>SUM(D108:F108)</f>
        <v>80000000</v>
      </c>
      <c r="D108" s="153"/>
      <c r="E108" s="153">
        <v>80000000</v>
      </c>
      <c r="F108" s="153"/>
      <c r="G108" s="153"/>
      <c r="H108" s="119">
        <f t="shared" si="3"/>
        <v>0</v>
      </c>
      <c r="I108" s="120"/>
      <c r="J108" s="160" t="s">
        <v>232</v>
      </c>
    </row>
    <row r="109" spans="1:10" ht="45.75" customHeight="1">
      <c r="A109" s="197" t="s">
        <v>32</v>
      </c>
      <c r="B109" s="140" t="s">
        <v>233</v>
      </c>
      <c r="C109" s="152">
        <f>SUM(D109:F109)</f>
        <v>1309000000</v>
      </c>
      <c r="D109" s="153"/>
      <c r="E109" s="153">
        <v>1309000000</v>
      </c>
      <c r="F109" s="153"/>
      <c r="G109" s="154">
        <f>'[1]Biểu số 02'!K132</f>
        <v>11157059</v>
      </c>
      <c r="H109" s="119">
        <f t="shared" si="3"/>
        <v>0.8523345301757067</v>
      </c>
      <c r="I109" s="120"/>
      <c r="J109" s="160" t="s">
        <v>234</v>
      </c>
    </row>
    <row r="110" spans="1:10" ht="25.5">
      <c r="A110" s="198" t="s">
        <v>32</v>
      </c>
      <c r="B110" s="155" t="s">
        <v>235</v>
      </c>
      <c r="C110" s="156">
        <f aca="true" t="shared" si="4" ref="C110:C116">SUM(D110:F110)</f>
        <v>70000000</v>
      </c>
      <c r="D110" s="154"/>
      <c r="E110" s="154">
        <v>70000000</v>
      </c>
      <c r="F110" s="199"/>
      <c r="G110" s="200"/>
      <c r="H110" s="119">
        <f t="shared" si="3"/>
        <v>0</v>
      </c>
      <c r="I110" s="120"/>
      <c r="J110" s="160" t="s">
        <v>236</v>
      </c>
    </row>
    <row r="111" spans="1:10" s="201" customFormat="1" ht="25.5">
      <c r="A111" s="198" t="s">
        <v>32</v>
      </c>
      <c r="B111" s="155" t="s">
        <v>237</v>
      </c>
      <c r="C111" s="156">
        <f t="shared" si="4"/>
        <v>500000000</v>
      </c>
      <c r="D111" s="157"/>
      <c r="E111" s="157"/>
      <c r="F111" s="174">
        <v>500000000</v>
      </c>
      <c r="G111" s="174"/>
      <c r="H111" s="119"/>
      <c r="I111" s="120"/>
      <c r="J111" s="201" t="s">
        <v>238</v>
      </c>
    </row>
    <row r="112" spans="1:9" s="201" customFormat="1" ht="25.5">
      <c r="A112" s="198" t="s">
        <v>32</v>
      </c>
      <c r="B112" s="155" t="s">
        <v>239</v>
      </c>
      <c r="C112" s="156">
        <f t="shared" si="4"/>
        <v>96000000</v>
      </c>
      <c r="D112" s="132"/>
      <c r="E112" s="157"/>
      <c r="F112" s="174">
        <v>96000000</v>
      </c>
      <c r="G112" s="174">
        <f>F112</f>
        <v>96000000</v>
      </c>
      <c r="H112" s="119"/>
      <c r="I112" s="120"/>
    </row>
    <row r="113" spans="1:10" s="201" customFormat="1" ht="25.5">
      <c r="A113" s="198" t="s">
        <v>32</v>
      </c>
      <c r="B113" s="155" t="s">
        <v>240</v>
      </c>
      <c r="C113" s="156">
        <f t="shared" si="4"/>
        <v>34300000</v>
      </c>
      <c r="D113" s="132"/>
      <c r="E113" s="157"/>
      <c r="F113" s="202">
        <v>34300000</v>
      </c>
      <c r="G113" s="174">
        <v>34285000</v>
      </c>
      <c r="H113" s="119"/>
      <c r="I113" s="120"/>
      <c r="J113" s="201" t="s">
        <v>175</v>
      </c>
    </row>
    <row r="114" spans="1:9" s="201" customFormat="1" ht="25.5">
      <c r="A114" s="198" t="s">
        <v>32</v>
      </c>
      <c r="B114" s="155" t="s">
        <v>241</v>
      </c>
      <c r="C114" s="156">
        <f t="shared" si="4"/>
        <v>363592000</v>
      </c>
      <c r="D114" s="132"/>
      <c r="E114" s="157"/>
      <c r="F114" s="203">
        <v>363592000</v>
      </c>
      <c r="G114" s="174">
        <f>F114</f>
        <v>363592000</v>
      </c>
      <c r="H114" s="119"/>
      <c r="I114" s="120"/>
    </row>
    <row r="115" spans="1:10" s="201" customFormat="1" ht="51">
      <c r="A115" s="198" t="s">
        <v>32</v>
      </c>
      <c r="B115" s="155" t="s">
        <v>242</v>
      </c>
      <c r="C115" s="156">
        <f t="shared" si="4"/>
        <v>358870000</v>
      </c>
      <c r="D115" s="157"/>
      <c r="E115" s="157"/>
      <c r="F115" s="175">
        <v>358870000</v>
      </c>
      <c r="G115" s="174"/>
      <c r="H115" s="119"/>
      <c r="I115" s="120"/>
      <c r="J115" s="201" t="s">
        <v>243</v>
      </c>
    </row>
    <row r="116" spans="1:10" ht="51">
      <c r="A116" s="198" t="s">
        <v>32</v>
      </c>
      <c r="B116" s="204" t="s">
        <v>244</v>
      </c>
      <c r="C116" s="205">
        <f t="shared" si="4"/>
        <v>206100000</v>
      </c>
      <c r="D116" s="206"/>
      <c r="E116" s="206"/>
      <c r="F116" s="207">
        <v>206100000</v>
      </c>
      <c r="G116" s="208"/>
      <c r="H116" s="119"/>
      <c r="I116" s="120"/>
      <c r="J116" s="160" t="s">
        <v>245</v>
      </c>
    </row>
    <row r="117" spans="1:9" ht="14.25">
      <c r="A117" s="209"/>
      <c r="B117" s="210"/>
      <c r="C117" s="211"/>
      <c r="D117" s="212"/>
      <c r="E117" s="212"/>
      <c r="F117" s="213"/>
      <c r="G117" s="214"/>
      <c r="H117" s="176"/>
      <c r="I117" s="177"/>
    </row>
    <row r="118" spans="1:9" ht="14.25">
      <c r="A118" s="215"/>
      <c r="B118" s="216"/>
      <c r="C118" s="215"/>
      <c r="D118" s="215"/>
      <c r="E118" s="215"/>
      <c r="F118" s="215"/>
      <c r="G118" s="215"/>
      <c r="H118" s="215"/>
      <c r="I118" s="217"/>
    </row>
    <row r="120" ht="14.25">
      <c r="D120" s="218">
        <v>31764014429</v>
      </c>
    </row>
    <row r="121" ht="14.25">
      <c r="D121" s="218"/>
    </row>
    <row r="122" ht="14.25">
      <c r="D122" s="218">
        <v>15585000000</v>
      </c>
    </row>
    <row r="124" spans="3:4" ht="14.25">
      <c r="C124" s="160" t="s">
        <v>246</v>
      </c>
      <c r="D124" s="219">
        <f>D120+D121+D122</f>
        <v>47349014429</v>
      </c>
    </row>
    <row r="125" ht="14.25">
      <c r="D125" s="218"/>
    </row>
    <row r="126" spans="3:4" ht="14.25">
      <c r="C126" s="160" t="s">
        <v>247</v>
      </c>
      <c r="D126" s="160">
        <v>10046915027</v>
      </c>
    </row>
    <row r="128" ht="14.25">
      <c r="D128" s="219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59"/>
  <sheetViews>
    <sheetView tabSelected="1" zoomScalePageLayoutView="0" workbookViewId="0" topLeftCell="A1">
      <selection activeCell="E29" sqref="E29"/>
    </sheetView>
  </sheetViews>
  <sheetFormatPr defaultColWidth="8.00390625" defaultRowHeight="14.25"/>
  <cols>
    <col min="1" max="1" width="6.375" style="402" customWidth="1"/>
    <col min="2" max="2" width="34.625" style="402" customWidth="1"/>
    <col min="3" max="3" width="15.00390625" style="402" hidden="1" customWidth="1"/>
    <col min="4" max="4" width="14.75390625" style="402" hidden="1" customWidth="1"/>
    <col min="5" max="5" width="16.875" style="402" customWidth="1"/>
    <col min="6" max="6" width="13.875" style="402" hidden="1" customWidth="1"/>
    <col min="7" max="7" width="16.625" style="432" customWidth="1"/>
    <col min="8" max="8" width="10.00390625" style="410" customWidth="1"/>
    <col min="9" max="9" width="24.875" style="402" hidden="1" customWidth="1"/>
    <col min="10" max="10" width="18.00390625" style="402" hidden="1" customWidth="1"/>
    <col min="11" max="11" width="15.625" style="402" hidden="1" customWidth="1"/>
    <col min="12" max="12" width="17.125" style="402" hidden="1" customWidth="1"/>
    <col min="13" max="13" width="14.875" style="402" hidden="1" customWidth="1"/>
    <col min="14" max="16" width="8.00390625" style="402" hidden="1" customWidth="1"/>
    <col min="17" max="17" width="2.125" style="402" hidden="1" customWidth="1"/>
    <col min="18" max="18" width="17.125" style="402" hidden="1" customWidth="1"/>
    <col min="19" max="19" width="12.50390625" style="402" hidden="1" customWidth="1"/>
    <col min="20" max="20" width="17.375" style="402" hidden="1" customWidth="1"/>
    <col min="21" max="22" width="17.75390625" style="402" hidden="1" customWidth="1"/>
    <col min="23" max="23" width="19.75390625" style="402" hidden="1" customWidth="1"/>
    <col min="24" max="24" width="14.375" style="402" hidden="1" customWidth="1"/>
    <col min="25" max="25" width="0" style="402" hidden="1" customWidth="1"/>
    <col min="26" max="26" width="12.625" style="402" hidden="1" customWidth="1"/>
    <col min="27" max="27" width="0" style="402" hidden="1" customWidth="1"/>
    <col min="28" max="29" width="16.125" style="402" hidden="1" customWidth="1"/>
    <col min="30" max="34" width="0" style="402" hidden="1" customWidth="1"/>
    <col min="35" max="35" width="12.50390625" style="402" hidden="1" customWidth="1"/>
    <col min="36" max="36" width="14.875" style="402" hidden="1" customWidth="1"/>
    <col min="37" max="37" width="0" style="402" hidden="1" customWidth="1"/>
    <col min="38" max="38" width="13.875" style="402" hidden="1" customWidth="1"/>
    <col min="39" max="40" width="0" style="402" hidden="1" customWidth="1"/>
    <col min="41" max="41" width="13.875" style="402" hidden="1" customWidth="1"/>
    <col min="42" max="42" width="14.75390625" style="402" hidden="1" customWidth="1"/>
    <col min="43" max="43" width="0" style="402" hidden="1" customWidth="1"/>
    <col min="44" max="16384" width="8.00390625" style="402" customWidth="1"/>
  </cols>
  <sheetData>
    <row r="1" spans="1:9" ht="20.25" customHeight="1">
      <c r="A1" s="400"/>
      <c r="B1" s="401"/>
      <c r="C1" s="401"/>
      <c r="D1" s="401"/>
      <c r="E1" s="505" t="s">
        <v>102</v>
      </c>
      <c r="F1" s="505"/>
      <c r="G1" s="505"/>
      <c r="H1" s="505"/>
      <c r="I1" s="220"/>
    </row>
    <row r="2" spans="1:9" ht="37.5" customHeight="1">
      <c r="A2" s="506" t="s">
        <v>328</v>
      </c>
      <c r="B2" s="506"/>
      <c r="C2" s="506"/>
      <c r="D2" s="506"/>
      <c r="E2" s="506"/>
      <c r="F2" s="506"/>
      <c r="G2" s="506"/>
      <c r="H2" s="506"/>
      <c r="I2" s="220"/>
    </row>
    <row r="3" spans="1:9" ht="29.25" customHeight="1">
      <c r="A3" s="507" t="s">
        <v>329</v>
      </c>
      <c r="B3" s="507"/>
      <c r="C3" s="507"/>
      <c r="D3" s="507"/>
      <c r="E3" s="507"/>
      <c r="F3" s="507"/>
      <c r="G3" s="507"/>
      <c r="H3" s="507"/>
      <c r="I3" s="221"/>
    </row>
    <row r="4" spans="1:11" ht="19.5" customHeight="1">
      <c r="A4" s="403"/>
      <c r="B4" s="403"/>
      <c r="C4" s="403"/>
      <c r="D4" s="403"/>
      <c r="E4" s="508" t="s">
        <v>155</v>
      </c>
      <c r="F4" s="508"/>
      <c r="G4" s="508"/>
      <c r="H4" s="508"/>
      <c r="I4" s="404"/>
      <c r="K4" s="405"/>
    </row>
    <row r="5" spans="1:11" ht="24.75" customHeight="1">
      <c r="A5" s="494" t="s">
        <v>0</v>
      </c>
      <c r="B5" s="494" t="s">
        <v>6</v>
      </c>
      <c r="C5" s="496" t="s">
        <v>303</v>
      </c>
      <c r="D5" s="497"/>
      <c r="E5" s="497"/>
      <c r="F5" s="498"/>
      <c r="G5" s="509" t="s">
        <v>324</v>
      </c>
      <c r="H5" s="512" t="s">
        <v>278</v>
      </c>
      <c r="I5" s="111"/>
      <c r="K5" s="406"/>
    </row>
    <row r="6" spans="1:11" ht="29.25" customHeight="1">
      <c r="A6" s="494"/>
      <c r="B6" s="494"/>
      <c r="C6" s="499"/>
      <c r="D6" s="500"/>
      <c r="E6" s="500"/>
      <c r="F6" s="501"/>
      <c r="G6" s="510"/>
      <c r="H6" s="513"/>
      <c r="I6" s="111"/>
      <c r="K6" s="405"/>
    </row>
    <row r="7" spans="1:22" ht="6.75" customHeight="1">
      <c r="A7" s="494"/>
      <c r="B7" s="494"/>
      <c r="C7" s="502"/>
      <c r="D7" s="503"/>
      <c r="E7" s="503"/>
      <c r="F7" s="504"/>
      <c r="G7" s="511"/>
      <c r="H7" s="514"/>
      <c r="I7" s="222">
        <f>I8-G9</f>
        <v>50992899454</v>
      </c>
      <c r="K7" s="405"/>
      <c r="L7" s="407"/>
      <c r="M7" s="407"/>
      <c r="T7" s="408"/>
      <c r="U7" s="405"/>
      <c r="V7" s="405"/>
    </row>
    <row r="8" spans="1:11" ht="18.75" customHeight="1">
      <c r="A8" s="313" t="s">
        <v>7</v>
      </c>
      <c r="B8" s="313" t="s">
        <v>8</v>
      </c>
      <c r="C8" s="313">
        <v>1</v>
      </c>
      <c r="D8" s="313">
        <v>2</v>
      </c>
      <c r="E8" s="313">
        <v>3</v>
      </c>
      <c r="F8" s="313">
        <v>4</v>
      </c>
      <c r="G8" s="313">
        <v>5</v>
      </c>
      <c r="H8" s="314" t="s">
        <v>51</v>
      </c>
      <c r="I8" s="315">
        <f>(379743170713+116183925438)-135418196697</f>
        <v>360508899454</v>
      </c>
      <c r="K8" s="316"/>
    </row>
    <row r="9" spans="1:24" ht="19.5" customHeight="1">
      <c r="A9" s="244"/>
      <c r="B9" s="245" t="s">
        <v>9</v>
      </c>
      <c r="C9" s="246">
        <f>C10+C38</f>
        <v>467922217164</v>
      </c>
      <c r="D9" s="246">
        <f>D10+D38</f>
        <v>77243717164</v>
      </c>
      <c r="E9" s="336">
        <f>E10+E38</f>
        <v>510913000000</v>
      </c>
      <c r="F9" s="337">
        <f>F10+F38</f>
        <v>0</v>
      </c>
      <c r="G9" s="336">
        <f>G10+G38</f>
        <v>309516000000</v>
      </c>
      <c r="H9" s="350">
        <f>G9/C9*100</f>
        <v>66.14689122391448</v>
      </c>
      <c r="I9" s="317" t="s">
        <v>157</v>
      </c>
      <c r="J9" s="405"/>
      <c r="K9" s="409"/>
      <c r="M9" s="405"/>
      <c r="P9" s="402">
        <f>G9/E9*100</f>
        <v>60.58095996774402</v>
      </c>
      <c r="Q9" s="407">
        <f>84310935562+13885591657-18350144000-300000000</f>
        <v>79546383219</v>
      </c>
      <c r="R9" s="407">
        <f>79276632331+14459967932-17922447860</f>
        <v>75814152403</v>
      </c>
      <c r="S9" s="405">
        <f>R9-G9</f>
        <v>-233701847597</v>
      </c>
      <c r="T9" s="407">
        <v>169720502837</v>
      </c>
      <c r="V9" s="407">
        <v>223185433914</v>
      </c>
      <c r="W9" s="410">
        <f>254982528993+52581252846-84378347925</f>
        <v>223185433914</v>
      </c>
      <c r="X9" s="411">
        <f>G9-W9</f>
        <v>86330566086</v>
      </c>
    </row>
    <row r="10" spans="1:9" ht="19.5" customHeight="1">
      <c r="A10" s="247" t="s">
        <v>7</v>
      </c>
      <c r="B10" s="248" t="s">
        <v>10</v>
      </c>
      <c r="C10" s="249">
        <f>C11+C20+C37</f>
        <v>441055002409</v>
      </c>
      <c r="D10" s="249">
        <f>D11+D20+D37</f>
        <v>51906502409</v>
      </c>
      <c r="E10" s="338">
        <f>E11+E20+E37</f>
        <v>415265000000</v>
      </c>
      <c r="F10" s="339">
        <f>F11+F20+F37</f>
        <v>0</v>
      </c>
      <c r="G10" s="338">
        <f>G11+G20+G37</f>
        <v>278333000000</v>
      </c>
      <c r="H10" s="350">
        <f>G10/C10*100</f>
        <v>63.1061882259065</v>
      </c>
      <c r="I10" s="317">
        <f>89559638500+40879543642</f>
        <v>130439182142</v>
      </c>
    </row>
    <row r="11" spans="1:22" ht="19.5" customHeight="1">
      <c r="A11" s="247" t="s">
        <v>3</v>
      </c>
      <c r="B11" s="248" t="s">
        <v>11</v>
      </c>
      <c r="C11" s="249">
        <f>SUM(C12:C16)</f>
        <v>49481477000</v>
      </c>
      <c r="D11" s="249">
        <f>SUM(D12:D16)</f>
        <v>31659977000</v>
      </c>
      <c r="E11" s="338">
        <v>36459000000</v>
      </c>
      <c r="F11" s="339">
        <f>SUM(F12:F16)</f>
        <v>0</v>
      </c>
      <c r="G11" s="338">
        <f>34470000000</f>
        <v>34470000000</v>
      </c>
      <c r="H11" s="350">
        <f>G11/C11*100</f>
        <v>69.66243145894776</v>
      </c>
      <c r="I11" s="317">
        <f>G11+G41+G57+G115</f>
        <v>34470000000</v>
      </c>
      <c r="K11" s="249"/>
      <c r="Q11" s="412"/>
      <c r="T11" s="405"/>
      <c r="U11" s="405"/>
      <c r="V11" s="405"/>
    </row>
    <row r="12" spans="1:17" ht="21" customHeight="1" hidden="1">
      <c r="A12" s="247">
        <v>1</v>
      </c>
      <c r="B12" s="248" t="s">
        <v>45</v>
      </c>
      <c r="C12" s="249">
        <f aca="true" t="shared" si="0" ref="C12:C18">SUM(D12:F12)</f>
        <v>17254392000</v>
      </c>
      <c r="D12" s="250">
        <v>3877392000</v>
      </c>
      <c r="E12" s="338">
        <v>13377000000</v>
      </c>
      <c r="F12" s="339"/>
      <c r="G12" s="339"/>
      <c r="H12" s="350">
        <f>G12/C12*100</f>
        <v>0</v>
      </c>
      <c r="I12" s="317" t="s">
        <v>256</v>
      </c>
      <c r="Q12" s="402" t="s">
        <v>257</v>
      </c>
    </row>
    <row r="13" spans="1:17" ht="21" customHeight="1" hidden="1">
      <c r="A13" s="247">
        <v>2</v>
      </c>
      <c r="B13" s="248" t="s">
        <v>47</v>
      </c>
      <c r="C13" s="249">
        <f t="shared" si="0"/>
        <v>9044500000</v>
      </c>
      <c r="D13" s="250">
        <v>4600000000</v>
      </c>
      <c r="E13" s="338">
        <f>4444500000</f>
        <v>4444500000</v>
      </c>
      <c r="F13" s="339"/>
      <c r="G13" s="339"/>
      <c r="H13" s="350">
        <f>G13/C13*100</f>
        <v>0</v>
      </c>
      <c r="I13" s="317"/>
      <c r="J13" s="405"/>
      <c r="Q13" s="402" t="s">
        <v>257</v>
      </c>
    </row>
    <row r="14" spans="1:12" ht="21" customHeight="1" hidden="1">
      <c r="A14" s="247">
        <v>3</v>
      </c>
      <c r="B14" s="248" t="s">
        <v>258</v>
      </c>
      <c r="C14" s="249">
        <f t="shared" si="0"/>
        <v>2399000000</v>
      </c>
      <c r="D14" s="250">
        <v>2399000000</v>
      </c>
      <c r="E14" s="338"/>
      <c r="F14" s="339"/>
      <c r="G14" s="339"/>
      <c r="H14" s="251"/>
      <c r="I14" s="318" t="e">
        <f>#REF!+65249000</f>
        <v>#REF!</v>
      </c>
      <c r="K14" s="409"/>
      <c r="L14" s="405"/>
    </row>
    <row r="15" spans="1:12" ht="21" customHeight="1" hidden="1">
      <c r="A15" s="247">
        <v>4</v>
      </c>
      <c r="B15" s="248" t="s">
        <v>158</v>
      </c>
      <c r="C15" s="249">
        <f t="shared" si="0"/>
        <v>3358927000</v>
      </c>
      <c r="D15" s="250">
        <f>629330300+2729596700</f>
        <v>3358927000</v>
      </c>
      <c r="E15" s="338"/>
      <c r="F15" s="339"/>
      <c r="G15" s="339"/>
      <c r="H15" s="251"/>
      <c r="I15" s="318"/>
      <c r="K15" s="409"/>
      <c r="L15" s="405"/>
    </row>
    <row r="16" spans="1:12" ht="21" customHeight="1" hidden="1">
      <c r="A16" s="247">
        <v>5</v>
      </c>
      <c r="B16" s="248" t="s">
        <v>259</v>
      </c>
      <c r="C16" s="249">
        <f t="shared" si="0"/>
        <v>17424658000</v>
      </c>
      <c r="D16" s="249">
        <v>17424658000</v>
      </c>
      <c r="E16" s="338">
        <f>E17+E18+E19</f>
        <v>0</v>
      </c>
      <c r="F16" s="339"/>
      <c r="G16" s="339"/>
      <c r="H16" s="251"/>
      <c r="I16" s="319"/>
      <c r="K16" s="409"/>
      <c r="L16" s="405"/>
    </row>
    <row r="17" spans="1:10" ht="21" customHeight="1" hidden="1">
      <c r="A17" s="247"/>
      <c r="B17" s="252" t="s">
        <v>230</v>
      </c>
      <c r="C17" s="249">
        <f t="shared" si="0"/>
        <v>0</v>
      </c>
      <c r="D17" s="249"/>
      <c r="E17" s="338"/>
      <c r="F17" s="339"/>
      <c r="G17" s="339"/>
      <c r="H17" s="350"/>
      <c r="I17" s="317"/>
      <c r="J17" s="405"/>
    </row>
    <row r="18" spans="1:13" ht="21" customHeight="1" hidden="1">
      <c r="A18" s="247"/>
      <c r="B18" s="248" t="s">
        <v>158</v>
      </c>
      <c r="C18" s="249">
        <f t="shared" si="0"/>
        <v>0</v>
      </c>
      <c r="D18" s="249"/>
      <c r="E18" s="338"/>
      <c r="F18" s="339"/>
      <c r="G18" s="339"/>
      <c r="H18" s="350"/>
      <c r="I18" s="413" t="s">
        <v>260</v>
      </c>
      <c r="L18" s="405"/>
      <c r="M18" s="405"/>
    </row>
    <row r="19" spans="1:12" ht="57" hidden="1">
      <c r="A19" s="247"/>
      <c r="B19" s="253" t="s">
        <v>260</v>
      </c>
      <c r="C19" s="254"/>
      <c r="D19" s="254"/>
      <c r="E19" s="340"/>
      <c r="F19" s="339"/>
      <c r="G19" s="341"/>
      <c r="H19" s="255"/>
      <c r="I19" s="319"/>
      <c r="K19" s="409"/>
      <c r="L19" s="405"/>
    </row>
    <row r="20" spans="1:23" ht="19.5" customHeight="1">
      <c r="A20" s="256" t="s">
        <v>5</v>
      </c>
      <c r="B20" s="253" t="s">
        <v>4</v>
      </c>
      <c r="C20" s="257">
        <f>SUM(C21:C36)</f>
        <v>383286525409</v>
      </c>
      <c r="D20" s="257">
        <f>SUM(D21:D36)</f>
        <v>20246525409</v>
      </c>
      <c r="E20" s="342">
        <f>SUM(E21:E36)</f>
        <v>370519000000</v>
      </c>
      <c r="F20" s="343">
        <f>SUM(F21:F36)</f>
        <v>0</v>
      </c>
      <c r="G20" s="342">
        <f>SUM(G21:G36)</f>
        <v>243863000000</v>
      </c>
      <c r="H20" s="350">
        <f>G20/C20*100</f>
        <v>63.62420378326031</v>
      </c>
      <c r="I20" s="317">
        <f>G20+G37+G44+G58+G121</f>
        <v>245322000000</v>
      </c>
      <c r="J20" s="405"/>
      <c r="K20" s="407"/>
      <c r="L20" s="407"/>
      <c r="M20" s="405"/>
      <c r="Q20" s="407">
        <f>45951353862+13739591657</f>
        <v>59690945519</v>
      </c>
      <c r="R20" s="407">
        <f>49417204471+14327027932</f>
        <v>63744232403</v>
      </c>
      <c r="S20" s="405">
        <f>R20-G20</f>
        <v>-180118767597</v>
      </c>
      <c r="T20" s="407"/>
      <c r="U20" s="405">
        <f>57179968339+14680477676</f>
        <v>71860446015</v>
      </c>
      <c r="V20" s="405"/>
      <c r="W20" s="405"/>
    </row>
    <row r="21" spans="1:12" ht="18" customHeight="1">
      <c r="A21" s="258">
        <v>1</v>
      </c>
      <c r="B21" s="259" t="s">
        <v>12</v>
      </c>
      <c r="C21" s="260">
        <f>SUM(D21:F21)</f>
        <v>9751415000</v>
      </c>
      <c r="D21" s="261">
        <v>34989000</v>
      </c>
      <c r="E21" s="344">
        <v>9716426000</v>
      </c>
      <c r="F21" s="345"/>
      <c r="G21" s="344">
        <v>308000000</v>
      </c>
      <c r="H21" s="351">
        <f>G21/C21*100</f>
        <v>3.1585159692208773</v>
      </c>
      <c r="I21" s="317">
        <f>153614186516+73215871571+831149000+269630000</f>
        <v>227930837087</v>
      </c>
      <c r="J21" s="405"/>
      <c r="K21" s="260"/>
      <c r="L21" s="414"/>
    </row>
    <row r="22" spans="1:12" ht="18" customHeight="1">
      <c r="A22" s="258">
        <v>2</v>
      </c>
      <c r="B22" s="259" t="s">
        <v>306</v>
      </c>
      <c r="C22" s="260"/>
      <c r="D22" s="261"/>
      <c r="E22" s="344">
        <v>3000000000</v>
      </c>
      <c r="F22" s="345"/>
      <c r="G22" s="344"/>
      <c r="H22" s="351"/>
      <c r="I22" s="317"/>
      <c r="J22" s="405"/>
      <c r="K22" s="260"/>
      <c r="L22" s="414"/>
    </row>
    <row r="23" spans="1:12" ht="18" customHeight="1">
      <c r="A23" s="258">
        <v>3</v>
      </c>
      <c r="B23" s="259" t="s">
        <v>13</v>
      </c>
      <c r="C23" s="260">
        <f>SUM(D23:F23)</f>
        <v>205327000000</v>
      </c>
      <c r="D23" s="261"/>
      <c r="E23" s="344">
        <v>205327000000</v>
      </c>
      <c r="F23" s="345"/>
      <c r="G23" s="344">
        <v>137919000000</v>
      </c>
      <c r="H23" s="351">
        <f>G23/C23*100</f>
        <v>67.17041597062247</v>
      </c>
      <c r="I23" s="317">
        <f>I20-I21</f>
        <v>17391162913</v>
      </c>
      <c r="J23" s="405"/>
      <c r="K23" s="260"/>
      <c r="L23" s="414"/>
    </row>
    <row r="24" spans="1:12" ht="18" customHeight="1">
      <c r="A24" s="258">
        <v>4</v>
      </c>
      <c r="B24" s="259" t="s">
        <v>14</v>
      </c>
      <c r="C24" s="260">
        <f aca="true" t="shared" si="1" ref="C24:C36">SUM(D24:F24)</f>
        <v>506000000</v>
      </c>
      <c r="D24" s="260"/>
      <c r="E24" s="344">
        <v>506000000</v>
      </c>
      <c r="F24" s="345"/>
      <c r="G24" s="344">
        <v>591000000</v>
      </c>
      <c r="H24" s="262"/>
      <c r="I24" s="320">
        <f>I21-I8</f>
        <v>-132578062367</v>
      </c>
      <c r="K24" s="260"/>
      <c r="L24" s="414"/>
    </row>
    <row r="25" spans="1:12" ht="18" customHeight="1">
      <c r="A25" s="258">
        <v>5</v>
      </c>
      <c r="B25" s="259" t="s">
        <v>162</v>
      </c>
      <c r="C25" s="260">
        <f t="shared" si="1"/>
        <v>0</v>
      </c>
      <c r="D25" s="260"/>
      <c r="E25" s="344"/>
      <c r="F25" s="345"/>
      <c r="G25" s="344"/>
      <c r="H25" s="351"/>
      <c r="I25" s="317"/>
      <c r="J25" s="405"/>
      <c r="K25" s="260"/>
      <c r="L25" s="414"/>
    </row>
    <row r="26" spans="1:12" ht="18" customHeight="1">
      <c r="A26" s="258">
        <v>6</v>
      </c>
      <c r="B26" s="259" t="s">
        <v>16</v>
      </c>
      <c r="C26" s="260">
        <f t="shared" si="1"/>
        <v>0</v>
      </c>
      <c r="D26" s="260"/>
      <c r="E26" s="344"/>
      <c r="F26" s="345"/>
      <c r="G26" s="344">
        <v>1645000000</v>
      </c>
      <c r="H26" s="351"/>
      <c r="I26" s="317"/>
      <c r="K26" s="260"/>
      <c r="L26" s="414"/>
    </row>
    <row r="27" spans="1:12" ht="18" customHeight="1">
      <c r="A27" s="258">
        <v>7</v>
      </c>
      <c r="B27" s="259" t="s">
        <v>17</v>
      </c>
      <c r="C27" s="260">
        <f t="shared" si="1"/>
        <v>1312007000</v>
      </c>
      <c r="D27" s="260"/>
      <c r="E27" s="344">
        <v>1312007000</v>
      </c>
      <c r="F27" s="345"/>
      <c r="G27" s="344">
        <v>1561000000</v>
      </c>
      <c r="H27" s="351">
        <f aca="true" t="shared" si="2" ref="H27:H33">G27/C27*100</f>
        <v>118.97802374530013</v>
      </c>
      <c r="I27" s="317"/>
      <c r="K27" s="260"/>
      <c r="L27" s="414"/>
    </row>
    <row r="28" spans="1:12" ht="18" customHeight="1">
      <c r="A28" s="258">
        <v>8</v>
      </c>
      <c r="B28" s="259" t="s">
        <v>18</v>
      </c>
      <c r="C28" s="260">
        <f t="shared" si="1"/>
        <v>0</v>
      </c>
      <c r="D28" s="260"/>
      <c r="E28" s="344"/>
      <c r="F28" s="345"/>
      <c r="G28" s="344">
        <v>202000000</v>
      </c>
      <c r="H28" s="351"/>
      <c r="I28" s="317"/>
      <c r="K28" s="260"/>
      <c r="L28" s="414"/>
    </row>
    <row r="29" spans="1:12" ht="18" customHeight="1">
      <c r="A29" s="258">
        <v>9</v>
      </c>
      <c r="B29" s="259" t="s">
        <v>19</v>
      </c>
      <c r="C29" s="260">
        <f t="shared" si="1"/>
        <v>1255495000</v>
      </c>
      <c r="D29" s="260"/>
      <c r="E29" s="344">
        <v>1255495000</v>
      </c>
      <c r="F29" s="345"/>
      <c r="G29" s="344">
        <v>620000000</v>
      </c>
      <c r="H29" s="351">
        <f t="shared" si="2"/>
        <v>49.38291271570178</v>
      </c>
      <c r="I29" s="317"/>
      <c r="K29" s="260"/>
      <c r="L29" s="414"/>
    </row>
    <row r="30" spans="1:12" ht="18" customHeight="1">
      <c r="A30" s="258">
        <v>10</v>
      </c>
      <c r="B30" s="259" t="s">
        <v>20</v>
      </c>
      <c r="C30" s="260">
        <f t="shared" si="1"/>
        <v>27560316000</v>
      </c>
      <c r="D30" s="260">
        <v>117800000</v>
      </c>
      <c r="E30" s="344">
        <v>27442516000</v>
      </c>
      <c r="F30" s="345"/>
      <c r="G30" s="344">
        <v>16366000000</v>
      </c>
      <c r="H30" s="351">
        <f t="shared" si="2"/>
        <v>59.38248313263171</v>
      </c>
      <c r="I30" s="317"/>
      <c r="K30" s="260"/>
      <c r="L30" s="414"/>
    </row>
    <row r="31" spans="1:12" ht="18" customHeight="1">
      <c r="A31" s="258">
        <v>11</v>
      </c>
      <c r="B31" s="259" t="s">
        <v>21</v>
      </c>
      <c r="C31" s="260">
        <f t="shared" si="1"/>
        <v>123499313409</v>
      </c>
      <c r="D31" s="260">
        <f>875000000+19051000000+12905429+128830980+26000000</f>
        <v>20093736409</v>
      </c>
      <c r="E31" s="344">
        <v>103405577000</v>
      </c>
      <c r="F31" s="345"/>
      <c r="G31" s="344">
        <v>68566000000</v>
      </c>
      <c r="H31" s="351">
        <f t="shared" si="2"/>
        <v>55.519336996575774</v>
      </c>
      <c r="I31" s="317"/>
      <c r="K31" s="260"/>
      <c r="L31" s="414"/>
    </row>
    <row r="32" spans="1:12" ht="18" customHeight="1">
      <c r="A32" s="258">
        <v>12</v>
      </c>
      <c r="B32" s="263" t="s">
        <v>22</v>
      </c>
      <c r="C32" s="260">
        <f t="shared" si="1"/>
        <v>2904100000</v>
      </c>
      <c r="D32" s="260"/>
      <c r="E32" s="344">
        <v>2904100000</v>
      </c>
      <c r="F32" s="345"/>
      <c r="G32" s="344">
        <v>4501000000</v>
      </c>
      <c r="H32" s="351">
        <f t="shared" si="2"/>
        <v>154.98777590303362</v>
      </c>
      <c r="I32" s="317"/>
      <c r="K32" s="260"/>
      <c r="L32" s="414"/>
    </row>
    <row r="33" spans="1:12" ht="18" customHeight="1">
      <c r="A33" s="258">
        <v>13</v>
      </c>
      <c r="B33" s="264" t="s">
        <v>23</v>
      </c>
      <c r="C33" s="260">
        <f t="shared" si="1"/>
        <v>8770879000</v>
      </c>
      <c r="D33" s="260"/>
      <c r="E33" s="344">
        <v>8770879000</v>
      </c>
      <c r="F33" s="345"/>
      <c r="G33" s="344">
        <v>10065000000</v>
      </c>
      <c r="H33" s="351">
        <f t="shared" si="2"/>
        <v>114.75474693015374</v>
      </c>
      <c r="I33" s="317"/>
      <c r="K33" s="260"/>
      <c r="L33" s="414"/>
    </row>
    <row r="34" spans="1:12" ht="18" customHeight="1">
      <c r="A34" s="258">
        <v>14</v>
      </c>
      <c r="B34" s="264" t="s">
        <v>172</v>
      </c>
      <c r="C34" s="260">
        <f t="shared" si="1"/>
        <v>0</v>
      </c>
      <c r="D34" s="260"/>
      <c r="E34" s="344"/>
      <c r="F34" s="345"/>
      <c r="G34" s="344">
        <v>1519000000</v>
      </c>
      <c r="H34" s="351"/>
      <c r="I34" s="317"/>
      <c r="K34" s="321"/>
      <c r="L34" s="415"/>
    </row>
    <row r="35" spans="1:12" ht="35.25" customHeight="1">
      <c r="A35" s="258">
        <v>15</v>
      </c>
      <c r="B35" s="416" t="s">
        <v>298</v>
      </c>
      <c r="C35" s="260"/>
      <c r="D35" s="260"/>
      <c r="E35" s="344">
        <v>4479000000</v>
      </c>
      <c r="F35" s="345"/>
      <c r="G35" s="383"/>
      <c r="H35" s="351"/>
      <c r="I35" s="317"/>
      <c r="K35" s="321"/>
      <c r="L35" s="415"/>
    </row>
    <row r="36" spans="1:9" ht="21" customHeight="1">
      <c r="A36" s="258">
        <v>16</v>
      </c>
      <c r="B36" s="264" t="s">
        <v>261</v>
      </c>
      <c r="C36" s="260">
        <f t="shared" si="1"/>
        <v>2400000000</v>
      </c>
      <c r="D36" s="260"/>
      <c r="E36" s="344">
        <v>2400000000</v>
      </c>
      <c r="F36" s="345"/>
      <c r="G36" s="383"/>
      <c r="H36" s="351"/>
      <c r="I36" s="317"/>
    </row>
    <row r="37" spans="1:24" ht="21" customHeight="1">
      <c r="A37" s="247" t="s">
        <v>24</v>
      </c>
      <c r="B37" s="248" t="s">
        <v>25</v>
      </c>
      <c r="C37" s="249">
        <f>SUM(D37:F37)</f>
        <v>8287000000</v>
      </c>
      <c r="D37" s="249"/>
      <c r="E37" s="338">
        <v>8287000000</v>
      </c>
      <c r="F37" s="339"/>
      <c r="G37" s="382"/>
      <c r="H37" s="351">
        <f aca="true" t="shared" si="3" ref="H37:H57">G37/C37*100</f>
        <v>0</v>
      </c>
      <c r="I37" s="317"/>
      <c r="W37" s="407"/>
      <c r="X37" s="405"/>
    </row>
    <row r="38" spans="1:9" ht="31.5" customHeight="1">
      <c r="A38" s="247" t="s">
        <v>8</v>
      </c>
      <c r="B38" s="248" t="s">
        <v>48</v>
      </c>
      <c r="C38" s="249">
        <f>C39+C114</f>
        <v>26867214755</v>
      </c>
      <c r="D38" s="249">
        <f>D39+D114</f>
        <v>25337214755</v>
      </c>
      <c r="E38" s="338">
        <f>E39+E114</f>
        <v>95648000000</v>
      </c>
      <c r="F38" s="339">
        <f>F39+F114</f>
        <v>0</v>
      </c>
      <c r="G38" s="338">
        <f>G39+G114</f>
        <v>31183000000</v>
      </c>
      <c r="H38" s="351">
        <f t="shared" si="3"/>
        <v>116.06338909468398</v>
      </c>
      <c r="I38" s="317"/>
    </row>
    <row r="39" spans="1:20" ht="21" customHeight="1">
      <c r="A39" s="247" t="s">
        <v>3</v>
      </c>
      <c r="B39" s="248" t="s">
        <v>26</v>
      </c>
      <c r="C39" s="249">
        <f>C40+C56</f>
        <v>25152501366</v>
      </c>
      <c r="D39" s="249">
        <f>D40+D56</f>
        <v>25152501366</v>
      </c>
      <c r="E39" s="338">
        <f>E40+E56+E113</f>
        <v>94306000000</v>
      </c>
      <c r="F39" s="338">
        <f>F40+F56+F113</f>
        <v>0</v>
      </c>
      <c r="G39" s="338">
        <f>G40+G56+G113</f>
        <v>29724000000</v>
      </c>
      <c r="H39" s="351">
        <f t="shared" si="3"/>
        <v>118.17512527871101</v>
      </c>
      <c r="I39" s="317"/>
      <c r="J39" s="405"/>
      <c r="T39" s="407"/>
    </row>
    <row r="40" spans="1:20" ht="30.75" customHeight="1">
      <c r="A40" s="258">
        <v>1</v>
      </c>
      <c r="B40" s="265" t="s">
        <v>304</v>
      </c>
      <c r="C40" s="249">
        <f>C41+C44</f>
        <v>21631501633</v>
      </c>
      <c r="D40" s="249">
        <f>D41+D44</f>
        <v>21631501633</v>
      </c>
      <c r="E40" s="344">
        <v>73334000000</v>
      </c>
      <c r="F40" s="338"/>
      <c r="G40" s="344">
        <v>20869000000</v>
      </c>
      <c r="H40" s="351">
        <f t="shared" si="3"/>
        <v>96.47504067939157</v>
      </c>
      <c r="I40" s="317"/>
      <c r="T40" s="407"/>
    </row>
    <row r="41" spans="1:20" ht="20.25" customHeight="1" hidden="1">
      <c r="A41" s="258" t="s">
        <v>27</v>
      </c>
      <c r="B41" s="265" t="s">
        <v>28</v>
      </c>
      <c r="C41" s="260">
        <f>C42+C43</f>
        <v>21631501633</v>
      </c>
      <c r="D41" s="260">
        <f>D42+D43</f>
        <v>21631501633</v>
      </c>
      <c r="E41" s="344">
        <f>E42+E43</f>
        <v>0</v>
      </c>
      <c r="F41" s="344">
        <f>F42+F43</f>
        <v>0</v>
      </c>
      <c r="G41" s="344">
        <f>G42+G43</f>
        <v>0</v>
      </c>
      <c r="H41" s="351">
        <f t="shared" si="3"/>
        <v>0</v>
      </c>
      <c r="I41" s="317"/>
      <c r="T41" s="405"/>
    </row>
    <row r="42" spans="1:20" ht="20.25" customHeight="1" hidden="1">
      <c r="A42" s="258" t="s">
        <v>32</v>
      </c>
      <c r="B42" s="266" t="s">
        <v>70</v>
      </c>
      <c r="C42" s="260">
        <f>SUM(D42:F42)</f>
        <v>1558435633</v>
      </c>
      <c r="D42" s="260">
        <f>1495899000+62536633</f>
        <v>1558435633</v>
      </c>
      <c r="E42" s="344"/>
      <c r="F42" s="344"/>
      <c r="G42" s="344"/>
      <c r="H42" s="351">
        <f t="shared" si="3"/>
        <v>0</v>
      </c>
      <c r="I42" s="317"/>
      <c r="Q42" s="402">
        <v>62536633</v>
      </c>
      <c r="T42" s="405"/>
    </row>
    <row r="43" spans="1:9" ht="20.25" customHeight="1" hidden="1">
      <c r="A43" s="258" t="s">
        <v>32</v>
      </c>
      <c r="B43" s="267" t="s">
        <v>69</v>
      </c>
      <c r="C43" s="260">
        <f>SUM(D43:F43)</f>
        <v>20073066000</v>
      </c>
      <c r="D43" s="260">
        <f>11919066000+8154000000</f>
        <v>20073066000</v>
      </c>
      <c r="E43" s="344"/>
      <c r="F43" s="344"/>
      <c r="G43" s="344"/>
      <c r="H43" s="351">
        <f t="shared" si="3"/>
        <v>0</v>
      </c>
      <c r="I43" s="317"/>
    </row>
    <row r="44" spans="1:9" ht="32.25" customHeight="1" hidden="1">
      <c r="A44" s="258" t="s">
        <v>30</v>
      </c>
      <c r="B44" s="265" t="s">
        <v>44</v>
      </c>
      <c r="C44" s="249">
        <f>C45+C49</f>
        <v>0</v>
      </c>
      <c r="D44" s="249">
        <f>D45+D49</f>
        <v>0</v>
      </c>
      <c r="E44" s="338">
        <f>E45+E49</f>
        <v>0</v>
      </c>
      <c r="F44" s="338">
        <f>F45+F49</f>
        <v>0</v>
      </c>
      <c r="G44" s="338">
        <f>G45+G49</f>
        <v>0</v>
      </c>
      <c r="H44" s="351"/>
      <c r="I44" s="317"/>
    </row>
    <row r="45" spans="1:9" ht="32.25" customHeight="1" hidden="1">
      <c r="A45" s="268" t="s">
        <v>174</v>
      </c>
      <c r="B45" s="269" t="s">
        <v>70</v>
      </c>
      <c r="C45" s="249"/>
      <c r="D45" s="249">
        <f>SUM(D46:D48)</f>
        <v>0</v>
      </c>
      <c r="E45" s="338">
        <f>SUM(E46:E48)</f>
        <v>0</v>
      </c>
      <c r="F45" s="338"/>
      <c r="G45" s="338"/>
      <c r="H45" s="351" t="e">
        <f t="shared" si="3"/>
        <v>#DIV/0!</v>
      </c>
      <c r="I45" s="317"/>
    </row>
    <row r="46" spans="1:9" ht="32.25" customHeight="1" hidden="1">
      <c r="A46" s="270" t="s">
        <v>43</v>
      </c>
      <c r="B46" s="266" t="s">
        <v>176</v>
      </c>
      <c r="C46" s="260">
        <f>SUM(D46:F46)</f>
        <v>849000000</v>
      </c>
      <c r="D46" s="260"/>
      <c r="E46" s="344">
        <f>'[2]Biểu số 02'!E13</f>
        <v>0</v>
      </c>
      <c r="F46" s="344">
        <f>'[2]Biểu số 02'!F13</f>
        <v>849000000</v>
      </c>
      <c r="G46" s="344">
        <f>'[2]bieu 1'!R14</f>
        <v>246998925</v>
      </c>
      <c r="H46" s="351">
        <f t="shared" si="3"/>
        <v>29.092924028268552</v>
      </c>
      <c r="I46" s="317"/>
    </row>
    <row r="47" spans="1:9" ht="32.25" customHeight="1" hidden="1">
      <c r="A47" s="270" t="s">
        <v>43</v>
      </c>
      <c r="B47" s="271" t="s">
        <v>177</v>
      </c>
      <c r="C47" s="260">
        <f aca="true" t="shared" si="4" ref="C47:C112">SUM(D47:F47)</f>
        <v>2500000000</v>
      </c>
      <c r="D47" s="260"/>
      <c r="E47" s="344"/>
      <c r="F47" s="344">
        <f>'[2]Biểu số 02'!F29</f>
        <v>2500000000</v>
      </c>
      <c r="G47" s="344">
        <f>'[2]bieu 1'!R30</f>
        <v>2195989794</v>
      </c>
      <c r="H47" s="351">
        <f t="shared" si="3"/>
        <v>87.83959176</v>
      </c>
      <c r="I47" s="317"/>
    </row>
    <row r="48" spans="1:9" ht="32.25" customHeight="1" hidden="1">
      <c r="A48" s="270" t="s">
        <v>43</v>
      </c>
      <c r="B48" s="271" t="s">
        <v>178</v>
      </c>
      <c r="C48" s="260">
        <f>SUM(D48:F48)</f>
        <v>665000000</v>
      </c>
      <c r="D48" s="260"/>
      <c r="E48" s="344"/>
      <c r="F48" s="344">
        <f>'[2]Biểu số 02'!F45</f>
        <v>665000000</v>
      </c>
      <c r="G48" s="344">
        <f>'[2]bieu 1'!R46</f>
        <v>643897000</v>
      </c>
      <c r="H48" s="351">
        <f t="shared" si="3"/>
        <v>96.82661654135339</v>
      </c>
      <c r="I48" s="317"/>
    </row>
    <row r="49" spans="1:9" s="417" customFormat="1" ht="32.25" customHeight="1" hidden="1">
      <c r="A49" s="268" t="s">
        <v>179</v>
      </c>
      <c r="B49" s="272" t="s">
        <v>69</v>
      </c>
      <c r="C49" s="249">
        <f>SUM(D49:F49)</f>
        <v>0</v>
      </c>
      <c r="D49" s="249"/>
      <c r="E49" s="338"/>
      <c r="F49" s="338">
        <f>SUM(F50:F55)</f>
        <v>0</v>
      </c>
      <c r="G49" s="338"/>
      <c r="H49" s="351" t="e">
        <f t="shared" si="3"/>
        <v>#DIV/0!</v>
      </c>
      <c r="I49" s="317"/>
    </row>
    <row r="50" spans="1:9" ht="32.25" customHeight="1" hidden="1">
      <c r="A50" s="270" t="s">
        <v>32</v>
      </c>
      <c r="B50" s="266" t="s">
        <v>180</v>
      </c>
      <c r="C50" s="249">
        <f t="shared" si="4"/>
        <v>5880000000</v>
      </c>
      <c r="D50" s="260"/>
      <c r="E50" s="344">
        <f>'[2]Biểu số 02'!E47</f>
        <v>5880000000</v>
      </c>
      <c r="F50" s="344"/>
      <c r="G50" s="344">
        <f>'[2]bieu 1'!R48</f>
        <v>4784749592</v>
      </c>
      <c r="H50" s="351">
        <f t="shared" si="3"/>
        <v>81.37329238095238</v>
      </c>
      <c r="I50" s="317"/>
    </row>
    <row r="51" spans="1:9" ht="32.25" customHeight="1" hidden="1">
      <c r="A51" s="270" t="s">
        <v>32</v>
      </c>
      <c r="B51" s="266" t="s">
        <v>181</v>
      </c>
      <c r="C51" s="249">
        <f t="shared" si="4"/>
        <v>1620000000</v>
      </c>
      <c r="D51" s="260"/>
      <c r="E51" s="344">
        <f>'[2]Biểu số 02'!E63</f>
        <v>1620000000</v>
      </c>
      <c r="F51" s="344"/>
      <c r="G51" s="344">
        <f>'[2]bieu 1'!R64</f>
        <v>966220941</v>
      </c>
      <c r="H51" s="351">
        <f t="shared" si="3"/>
        <v>59.643267962962966</v>
      </c>
      <c r="I51" s="317"/>
    </row>
    <row r="52" spans="1:9" ht="32.25" customHeight="1" hidden="1">
      <c r="A52" s="270" t="s">
        <v>32</v>
      </c>
      <c r="B52" s="271" t="s">
        <v>182</v>
      </c>
      <c r="C52" s="249">
        <f t="shared" si="4"/>
        <v>600000000</v>
      </c>
      <c r="D52" s="260"/>
      <c r="E52" s="344">
        <f>'[2]Biểu số 02'!E71</f>
        <v>600000000</v>
      </c>
      <c r="F52" s="344"/>
      <c r="G52" s="344">
        <f>'[2]bieu 1'!R72</f>
        <v>498296400</v>
      </c>
      <c r="H52" s="351">
        <f t="shared" si="3"/>
        <v>83.04939999999999</v>
      </c>
      <c r="I52" s="317"/>
    </row>
    <row r="53" spans="1:9" ht="32.25" customHeight="1" hidden="1">
      <c r="A53" s="270" t="s">
        <v>32</v>
      </c>
      <c r="B53" s="271" t="s">
        <v>183</v>
      </c>
      <c r="C53" s="249">
        <f t="shared" si="4"/>
        <v>596000000</v>
      </c>
      <c r="D53" s="260"/>
      <c r="E53" s="344">
        <f>'[2]Biểu số 02'!E73</f>
        <v>596000000</v>
      </c>
      <c r="F53" s="344"/>
      <c r="G53" s="344">
        <f>'[2]bieu 1'!R74</f>
        <v>0</v>
      </c>
      <c r="H53" s="351">
        <f t="shared" si="3"/>
        <v>0</v>
      </c>
      <c r="I53" s="317"/>
    </row>
    <row r="54" spans="1:9" ht="32.25" customHeight="1" hidden="1">
      <c r="A54" s="268" t="s">
        <v>184</v>
      </c>
      <c r="B54" s="271" t="s">
        <v>185</v>
      </c>
      <c r="C54" s="249">
        <f t="shared" si="4"/>
        <v>0</v>
      </c>
      <c r="D54" s="260"/>
      <c r="E54" s="344"/>
      <c r="F54" s="344"/>
      <c r="G54" s="344">
        <f>'[2]bieu 1'!R76</f>
        <v>0</v>
      </c>
      <c r="H54" s="351" t="e">
        <f t="shared" si="3"/>
        <v>#DIV/0!</v>
      </c>
      <c r="I54" s="317"/>
    </row>
    <row r="55" spans="1:9" ht="32.25" customHeight="1" hidden="1">
      <c r="A55" s="268" t="s">
        <v>186</v>
      </c>
      <c r="B55" s="271" t="s">
        <v>187</v>
      </c>
      <c r="C55" s="249">
        <f t="shared" si="4"/>
        <v>0</v>
      </c>
      <c r="D55" s="260"/>
      <c r="E55" s="344"/>
      <c r="F55" s="344"/>
      <c r="G55" s="344"/>
      <c r="H55" s="351" t="e">
        <f t="shared" si="3"/>
        <v>#DIV/0!</v>
      </c>
      <c r="I55" s="317"/>
    </row>
    <row r="56" spans="1:9" ht="21.75" customHeight="1">
      <c r="A56" s="258">
        <v>2</v>
      </c>
      <c r="B56" s="265" t="s">
        <v>305</v>
      </c>
      <c r="C56" s="260">
        <f>C57+C58</f>
        <v>3520999733</v>
      </c>
      <c r="D56" s="260">
        <f>D57+D58</f>
        <v>3520999733</v>
      </c>
      <c r="E56" s="344">
        <v>12393000000</v>
      </c>
      <c r="F56" s="344"/>
      <c r="G56" s="344">
        <v>426000000</v>
      </c>
      <c r="H56" s="351">
        <f t="shared" si="3"/>
        <v>12.098836475543692</v>
      </c>
      <c r="I56" s="317"/>
    </row>
    <row r="57" spans="1:17" ht="18" customHeight="1" hidden="1">
      <c r="A57" s="258" t="s">
        <v>89</v>
      </c>
      <c r="B57" s="265" t="s">
        <v>28</v>
      </c>
      <c r="C57" s="260">
        <f>SUM(D57:F57)</f>
        <v>3520999733</v>
      </c>
      <c r="D57" s="260">
        <v>3520999733</v>
      </c>
      <c r="E57" s="344"/>
      <c r="F57" s="344"/>
      <c r="G57" s="344"/>
      <c r="H57" s="351">
        <f t="shared" si="3"/>
        <v>0</v>
      </c>
      <c r="I57" s="317">
        <f>54616-45829</f>
        <v>8787</v>
      </c>
      <c r="Q57" s="304">
        <f>3768249755</f>
        <v>3768249755</v>
      </c>
    </row>
    <row r="58" spans="1:17" ht="30.75" customHeight="1" hidden="1">
      <c r="A58" s="258" t="s">
        <v>90</v>
      </c>
      <c r="B58" s="265" t="s">
        <v>44</v>
      </c>
      <c r="C58" s="260">
        <f>SUM(D58:F58)</f>
        <v>0</v>
      </c>
      <c r="D58" s="249">
        <f>D59+D107</f>
        <v>0</v>
      </c>
      <c r="E58" s="338">
        <f>E59+E107</f>
        <v>0</v>
      </c>
      <c r="F58" s="338"/>
      <c r="G58" s="338"/>
      <c r="H58" s="351"/>
      <c r="I58" s="317"/>
      <c r="Q58" s="405">
        <f>Q57-D57-Q42</f>
        <v>184713389</v>
      </c>
    </row>
    <row r="59" spans="1:9" ht="30.75" customHeight="1" hidden="1">
      <c r="A59" s="258"/>
      <c r="B59" s="273" t="s">
        <v>262</v>
      </c>
      <c r="C59" s="249">
        <f>C60+C67+C70+C74+C75+C76+C79+C80+C92+C94</f>
        <v>8436000000</v>
      </c>
      <c r="D59" s="249">
        <f>D60+D67+D70+D74+D75+D76+D79+D80+D92+D94</f>
        <v>0</v>
      </c>
      <c r="E59" s="338">
        <f>E60+E67+E70+E74+E75+E76+E79+E80+E92+E94</f>
        <v>0</v>
      </c>
      <c r="F59" s="339">
        <f>F60+F67+F70+F74+F75+F76+F79+F80+F92+F94</f>
        <v>8436000000</v>
      </c>
      <c r="G59" s="339">
        <f>G60+G67+G70+G74+G75+G76+G79+G80+G92+G94</f>
        <v>116460000</v>
      </c>
      <c r="H59" s="351"/>
      <c r="I59" s="317"/>
    </row>
    <row r="60" spans="1:9" ht="30" hidden="1">
      <c r="A60" s="247" t="s">
        <v>43</v>
      </c>
      <c r="B60" s="274" t="s">
        <v>188</v>
      </c>
      <c r="C60" s="249">
        <f t="shared" si="4"/>
        <v>1009000000</v>
      </c>
      <c r="D60" s="260"/>
      <c r="E60" s="344"/>
      <c r="F60" s="345">
        <f>'[2]bieu 1'!F82</f>
        <v>1009000000</v>
      </c>
      <c r="G60" s="345">
        <f>'[2]bieu 1'!R82</f>
        <v>9300000</v>
      </c>
      <c r="H60" s="351">
        <f aca="true" t="shared" si="5" ref="H60:H93">G60/C60*100</f>
        <v>0.9217046580773042</v>
      </c>
      <c r="I60" s="317"/>
    </row>
    <row r="61" spans="1:9" ht="15" hidden="1">
      <c r="A61" s="258">
        <v>1</v>
      </c>
      <c r="B61" s="275" t="s">
        <v>189</v>
      </c>
      <c r="C61" s="249">
        <f t="shared" si="4"/>
        <v>0</v>
      </c>
      <c r="D61" s="260"/>
      <c r="E61" s="344"/>
      <c r="F61" s="345"/>
      <c r="G61" s="345"/>
      <c r="H61" s="351" t="e">
        <f t="shared" si="5"/>
        <v>#DIV/0!</v>
      </c>
      <c r="I61" s="317"/>
    </row>
    <row r="62" spans="1:9" ht="15" hidden="1">
      <c r="A62" s="258">
        <v>2</v>
      </c>
      <c r="B62" s="275" t="s">
        <v>190</v>
      </c>
      <c r="C62" s="249">
        <f t="shared" si="4"/>
        <v>0</v>
      </c>
      <c r="D62" s="260"/>
      <c r="E62" s="344"/>
      <c r="F62" s="345"/>
      <c r="G62" s="345"/>
      <c r="H62" s="351" t="e">
        <f t="shared" si="5"/>
        <v>#DIV/0!</v>
      </c>
      <c r="I62" s="317"/>
    </row>
    <row r="63" spans="1:9" ht="15" hidden="1">
      <c r="A63" s="258">
        <v>3</v>
      </c>
      <c r="B63" s="275" t="s">
        <v>191</v>
      </c>
      <c r="C63" s="249">
        <f t="shared" si="4"/>
        <v>0</v>
      </c>
      <c r="D63" s="260"/>
      <c r="E63" s="344"/>
      <c r="F63" s="345"/>
      <c r="G63" s="345"/>
      <c r="H63" s="351" t="e">
        <f t="shared" si="5"/>
        <v>#DIV/0!</v>
      </c>
      <c r="I63" s="317"/>
    </row>
    <row r="64" spans="1:9" ht="15" hidden="1">
      <c r="A64" s="258">
        <v>4</v>
      </c>
      <c r="B64" s="275" t="s">
        <v>192</v>
      </c>
      <c r="C64" s="249">
        <f t="shared" si="4"/>
        <v>0</v>
      </c>
      <c r="D64" s="260"/>
      <c r="E64" s="344"/>
      <c r="F64" s="345"/>
      <c r="G64" s="345"/>
      <c r="H64" s="351" t="e">
        <f t="shared" si="5"/>
        <v>#DIV/0!</v>
      </c>
      <c r="I64" s="317"/>
    </row>
    <row r="65" spans="1:9" ht="15" hidden="1">
      <c r="A65" s="258">
        <v>5</v>
      </c>
      <c r="B65" s="275" t="s">
        <v>193</v>
      </c>
      <c r="C65" s="249">
        <f t="shared" si="4"/>
        <v>0</v>
      </c>
      <c r="D65" s="260"/>
      <c r="E65" s="344"/>
      <c r="F65" s="345"/>
      <c r="G65" s="345"/>
      <c r="H65" s="351" t="e">
        <f t="shared" si="5"/>
        <v>#DIV/0!</v>
      </c>
      <c r="I65" s="317"/>
    </row>
    <row r="66" spans="1:9" ht="15" hidden="1">
      <c r="A66" s="258">
        <v>6</v>
      </c>
      <c r="B66" s="275" t="s">
        <v>194</v>
      </c>
      <c r="C66" s="249">
        <f t="shared" si="4"/>
        <v>0</v>
      </c>
      <c r="D66" s="260"/>
      <c r="E66" s="344"/>
      <c r="F66" s="345"/>
      <c r="G66" s="345"/>
      <c r="H66" s="351" t="e">
        <f t="shared" si="5"/>
        <v>#DIV/0!</v>
      </c>
      <c r="I66" s="317"/>
    </row>
    <row r="67" spans="1:9" ht="15" hidden="1">
      <c r="A67" s="247" t="s">
        <v>43</v>
      </c>
      <c r="B67" s="274" t="s">
        <v>82</v>
      </c>
      <c r="C67" s="249">
        <f t="shared" si="4"/>
        <v>1007000000</v>
      </c>
      <c r="D67" s="260"/>
      <c r="E67" s="344"/>
      <c r="F67" s="345">
        <f>'[2]Biểu số 02'!F88</f>
        <v>1007000000</v>
      </c>
      <c r="G67" s="345">
        <f>'[2]bieu 1'!R89</f>
        <v>0</v>
      </c>
      <c r="H67" s="351">
        <f t="shared" si="5"/>
        <v>0</v>
      </c>
      <c r="I67" s="317"/>
    </row>
    <row r="68" spans="1:9" ht="45" hidden="1">
      <c r="A68" s="247" t="s">
        <v>43</v>
      </c>
      <c r="B68" s="276" t="s">
        <v>195</v>
      </c>
      <c r="C68" s="249">
        <f t="shared" si="4"/>
        <v>0</v>
      </c>
      <c r="D68" s="260"/>
      <c r="E68" s="344"/>
      <c r="F68" s="345"/>
      <c r="G68" s="345"/>
      <c r="H68" s="351" t="e">
        <f t="shared" si="5"/>
        <v>#DIV/0!</v>
      </c>
      <c r="I68" s="317"/>
    </row>
    <row r="69" spans="1:9" ht="30.75" customHeight="1" hidden="1">
      <c r="A69" s="247" t="s">
        <v>43</v>
      </c>
      <c r="B69" s="276" t="s">
        <v>196</v>
      </c>
      <c r="C69" s="249">
        <f t="shared" si="4"/>
        <v>0</v>
      </c>
      <c r="D69" s="260"/>
      <c r="E69" s="344"/>
      <c r="F69" s="345"/>
      <c r="G69" s="345"/>
      <c r="H69" s="351" t="e">
        <f t="shared" si="5"/>
        <v>#DIV/0!</v>
      </c>
      <c r="I69" s="317"/>
    </row>
    <row r="70" spans="1:9" ht="30.75" customHeight="1" hidden="1">
      <c r="A70" s="247" t="s">
        <v>43</v>
      </c>
      <c r="B70" s="274" t="s">
        <v>83</v>
      </c>
      <c r="C70" s="249">
        <f t="shared" si="4"/>
        <v>250000000</v>
      </c>
      <c r="D70" s="260"/>
      <c r="E70" s="344"/>
      <c r="F70" s="345">
        <f>'[2]Biểu số 02'!F91</f>
        <v>250000000</v>
      </c>
      <c r="G70" s="345">
        <f>'[2]bieu 1'!R92</f>
        <v>0</v>
      </c>
      <c r="H70" s="351">
        <f t="shared" si="5"/>
        <v>0</v>
      </c>
      <c r="I70" s="317"/>
    </row>
    <row r="71" spans="1:9" ht="30.75" customHeight="1" hidden="1">
      <c r="A71" s="247" t="s">
        <v>43</v>
      </c>
      <c r="B71" s="275" t="s">
        <v>197</v>
      </c>
      <c r="C71" s="249">
        <f t="shared" si="4"/>
        <v>0</v>
      </c>
      <c r="D71" s="260"/>
      <c r="E71" s="344"/>
      <c r="F71" s="345"/>
      <c r="G71" s="345"/>
      <c r="H71" s="351" t="e">
        <f t="shared" si="5"/>
        <v>#DIV/0!</v>
      </c>
      <c r="I71" s="317"/>
    </row>
    <row r="72" spans="1:9" ht="30.75" customHeight="1" hidden="1">
      <c r="A72" s="247" t="s">
        <v>43</v>
      </c>
      <c r="B72" s="275" t="s">
        <v>198</v>
      </c>
      <c r="C72" s="249">
        <f t="shared" si="4"/>
        <v>0</v>
      </c>
      <c r="D72" s="260"/>
      <c r="E72" s="344"/>
      <c r="F72" s="345"/>
      <c r="G72" s="345"/>
      <c r="H72" s="351" t="e">
        <f t="shared" si="5"/>
        <v>#DIV/0!</v>
      </c>
      <c r="I72" s="317"/>
    </row>
    <row r="73" spans="1:9" ht="30.75" customHeight="1" hidden="1">
      <c r="A73" s="247" t="s">
        <v>43</v>
      </c>
      <c r="B73" s="275" t="s">
        <v>199</v>
      </c>
      <c r="C73" s="249">
        <f t="shared" si="4"/>
        <v>0</v>
      </c>
      <c r="D73" s="260"/>
      <c r="E73" s="344"/>
      <c r="F73" s="345"/>
      <c r="G73" s="345"/>
      <c r="H73" s="351" t="e">
        <f t="shared" si="5"/>
        <v>#DIV/0!</v>
      </c>
      <c r="I73" s="317"/>
    </row>
    <row r="74" spans="1:9" ht="30.75" customHeight="1" hidden="1">
      <c r="A74" s="247" t="s">
        <v>43</v>
      </c>
      <c r="B74" s="274" t="s">
        <v>200</v>
      </c>
      <c r="C74" s="249">
        <f t="shared" si="4"/>
        <v>100000000</v>
      </c>
      <c r="D74" s="260"/>
      <c r="E74" s="344"/>
      <c r="F74" s="345">
        <f>'[2]Biểu số 02'!F95</f>
        <v>100000000</v>
      </c>
      <c r="G74" s="345">
        <f>'[2]bieu 1'!R96</f>
        <v>7160000</v>
      </c>
      <c r="H74" s="351">
        <f t="shared" si="5"/>
        <v>7.16</v>
      </c>
      <c r="I74" s="317"/>
    </row>
    <row r="75" spans="1:9" ht="30.75" customHeight="1" hidden="1">
      <c r="A75" s="247" t="s">
        <v>43</v>
      </c>
      <c r="B75" s="274" t="s">
        <v>201</v>
      </c>
      <c r="C75" s="249">
        <f t="shared" si="4"/>
        <v>130000000</v>
      </c>
      <c r="D75" s="260"/>
      <c r="E75" s="344"/>
      <c r="F75" s="345">
        <f>'[2]Biểu số 02'!F96</f>
        <v>130000000</v>
      </c>
      <c r="G75" s="345"/>
      <c r="H75" s="351">
        <f t="shared" si="5"/>
        <v>0</v>
      </c>
      <c r="I75" s="317"/>
    </row>
    <row r="76" spans="1:9" ht="30.75" customHeight="1" hidden="1">
      <c r="A76" s="247" t="s">
        <v>43</v>
      </c>
      <c r="B76" s="274" t="s">
        <v>202</v>
      </c>
      <c r="C76" s="249">
        <f t="shared" si="4"/>
        <v>2000000000</v>
      </c>
      <c r="D76" s="260"/>
      <c r="E76" s="344"/>
      <c r="F76" s="345">
        <f>'[2]Biểu số 02'!F97</f>
        <v>2000000000</v>
      </c>
      <c r="G76" s="345"/>
      <c r="H76" s="351">
        <f t="shared" si="5"/>
        <v>0</v>
      </c>
      <c r="I76" s="317"/>
    </row>
    <row r="77" spans="1:9" ht="30.75" customHeight="1" hidden="1">
      <c r="A77" s="247" t="s">
        <v>43</v>
      </c>
      <c r="B77" s="277" t="s">
        <v>203</v>
      </c>
      <c r="C77" s="249">
        <f t="shared" si="4"/>
        <v>0</v>
      </c>
      <c r="D77" s="260"/>
      <c r="E77" s="344"/>
      <c r="F77" s="345"/>
      <c r="G77" s="345"/>
      <c r="H77" s="351" t="e">
        <f t="shared" si="5"/>
        <v>#DIV/0!</v>
      </c>
      <c r="I77" s="317"/>
    </row>
    <row r="78" spans="1:9" ht="30.75" customHeight="1" hidden="1">
      <c r="A78" s="278" t="s">
        <v>43</v>
      </c>
      <c r="B78" s="279" t="s">
        <v>204</v>
      </c>
      <c r="C78" s="280">
        <f t="shared" si="4"/>
        <v>0</v>
      </c>
      <c r="D78" s="281"/>
      <c r="E78" s="346"/>
      <c r="F78" s="347"/>
      <c r="G78" s="347"/>
      <c r="H78" s="352" t="e">
        <f t="shared" si="5"/>
        <v>#DIV/0!</v>
      </c>
      <c r="I78" s="317"/>
    </row>
    <row r="79" spans="1:9" ht="30.75" customHeight="1" hidden="1">
      <c r="A79" s="282" t="s">
        <v>43</v>
      </c>
      <c r="B79" s="283" t="s">
        <v>205</v>
      </c>
      <c r="C79" s="284">
        <f t="shared" si="4"/>
        <v>500000000</v>
      </c>
      <c r="D79" s="285"/>
      <c r="E79" s="348"/>
      <c r="F79" s="349">
        <f>'[2]Biểu số 02'!F100</f>
        <v>500000000</v>
      </c>
      <c r="G79" s="349"/>
      <c r="H79" s="353">
        <f t="shared" si="5"/>
        <v>0</v>
      </c>
      <c r="I79" s="322"/>
    </row>
    <row r="80" spans="1:9" ht="30.75" customHeight="1" hidden="1">
      <c r="A80" s="286" t="s">
        <v>43</v>
      </c>
      <c r="B80" s="287" t="s">
        <v>206</v>
      </c>
      <c r="C80" s="288">
        <f t="shared" si="4"/>
        <v>2200000000</v>
      </c>
      <c r="D80" s="289"/>
      <c r="E80" s="302"/>
      <c r="F80" s="308">
        <f>'[2]Biểu số 02'!F101</f>
        <v>2200000000</v>
      </c>
      <c r="G80" s="308"/>
      <c r="H80" s="295">
        <f t="shared" si="5"/>
        <v>0</v>
      </c>
      <c r="I80" s="323"/>
    </row>
    <row r="81" spans="1:9" ht="30.75" customHeight="1" hidden="1">
      <c r="A81" s="286" t="s">
        <v>43</v>
      </c>
      <c r="B81" s="291" t="s">
        <v>193</v>
      </c>
      <c r="C81" s="288">
        <f t="shared" si="4"/>
        <v>0</v>
      </c>
      <c r="D81" s="289"/>
      <c r="E81" s="302"/>
      <c r="F81" s="308"/>
      <c r="G81" s="308"/>
      <c r="H81" s="295" t="e">
        <f t="shared" si="5"/>
        <v>#DIV/0!</v>
      </c>
      <c r="I81" s="323"/>
    </row>
    <row r="82" spans="1:9" ht="30.75" customHeight="1" hidden="1">
      <c r="A82" s="286" t="s">
        <v>43</v>
      </c>
      <c r="B82" s="291" t="s">
        <v>192</v>
      </c>
      <c r="C82" s="288">
        <f t="shared" si="4"/>
        <v>0</v>
      </c>
      <c r="D82" s="289"/>
      <c r="E82" s="302"/>
      <c r="F82" s="308"/>
      <c r="G82" s="308"/>
      <c r="H82" s="295" t="e">
        <f t="shared" si="5"/>
        <v>#DIV/0!</v>
      </c>
      <c r="I82" s="323"/>
    </row>
    <row r="83" spans="1:9" ht="30.75" customHeight="1" hidden="1">
      <c r="A83" s="286" t="s">
        <v>43</v>
      </c>
      <c r="B83" s="291" t="s">
        <v>191</v>
      </c>
      <c r="C83" s="288">
        <f t="shared" si="4"/>
        <v>0</v>
      </c>
      <c r="D83" s="289"/>
      <c r="E83" s="302"/>
      <c r="F83" s="308"/>
      <c r="G83" s="308"/>
      <c r="H83" s="295" t="e">
        <f t="shared" si="5"/>
        <v>#DIV/0!</v>
      </c>
      <c r="I83" s="323"/>
    </row>
    <row r="84" spans="1:9" ht="30.75" customHeight="1" hidden="1">
      <c r="A84" s="286" t="s">
        <v>43</v>
      </c>
      <c r="B84" s="291" t="s">
        <v>207</v>
      </c>
      <c r="C84" s="288">
        <f t="shared" si="4"/>
        <v>0</v>
      </c>
      <c r="D84" s="289"/>
      <c r="E84" s="302"/>
      <c r="F84" s="308"/>
      <c r="G84" s="308"/>
      <c r="H84" s="295" t="e">
        <f t="shared" si="5"/>
        <v>#DIV/0!</v>
      </c>
      <c r="I84" s="323"/>
    </row>
    <row r="85" spans="1:9" ht="30.75" customHeight="1" hidden="1">
      <c r="A85" s="286" t="s">
        <v>43</v>
      </c>
      <c r="B85" s="291" t="s">
        <v>208</v>
      </c>
      <c r="C85" s="288">
        <f t="shared" si="4"/>
        <v>0</v>
      </c>
      <c r="D85" s="289"/>
      <c r="E85" s="302"/>
      <c r="F85" s="308"/>
      <c r="G85" s="308"/>
      <c r="H85" s="295" t="e">
        <f t="shared" si="5"/>
        <v>#DIV/0!</v>
      </c>
      <c r="I85" s="323"/>
    </row>
    <row r="86" spans="1:9" ht="30.75" customHeight="1" hidden="1">
      <c r="A86" s="286" t="s">
        <v>43</v>
      </c>
      <c r="B86" s="291" t="s">
        <v>189</v>
      </c>
      <c r="C86" s="288">
        <f t="shared" si="4"/>
        <v>0</v>
      </c>
      <c r="D86" s="289"/>
      <c r="E86" s="302"/>
      <c r="F86" s="308"/>
      <c r="G86" s="308"/>
      <c r="H86" s="295" t="e">
        <f t="shared" si="5"/>
        <v>#DIV/0!</v>
      </c>
      <c r="I86" s="323"/>
    </row>
    <row r="87" spans="1:9" ht="30.75" customHeight="1" hidden="1">
      <c r="A87" s="286" t="s">
        <v>43</v>
      </c>
      <c r="B87" s="291" t="s">
        <v>209</v>
      </c>
      <c r="C87" s="288">
        <f t="shared" si="4"/>
        <v>0</v>
      </c>
      <c r="D87" s="289"/>
      <c r="E87" s="302"/>
      <c r="F87" s="308"/>
      <c r="G87" s="308"/>
      <c r="H87" s="295" t="e">
        <f t="shared" si="5"/>
        <v>#DIV/0!</v>
      </c>
      <c r="I87" s="323"/>
    </row>
    <row r="88" spans="1:9" ht="30.75" customHeight="1" hidden="1">
      <c r="A88" s="286" t="s">
        <v>43</v>
      </c>
      <c r="B88" s="291" t="s">
        <v>210</v>
      </c>
      <c r="C88" s="288">
        <f t="shared" si="4"/>
        <v>0</v>
      </c>
      <c r="D88" s="289"/>
      <c r="E88" s="302"/>
      <c r="F88" s="308"/>
      <c r="G88" s="308"/>
      <c r="H88" s="295" t="e">
        <f t="shared" si="5"/>
        <v>#DIV/0!</v>
      </c>
      <c r="I88" s="323"/>
    </row>
    <row r="89" spans="1:9" ht="30.75" customHeight="1" hidden="1">
      <c r="A89" s="286" t="s">
        <v>43</v>
      </c>
      <c r="B89" s="291" t="s">
        <v>211</v>
      </c>
      <c r="C89" s="288">
        <f t="shared" si="4"/>
        <v>0</v>
      </c>
      <c r="D89" s="289"/>
      <c r="E89" s="302"/>
      <c r="F89" s="308"/>
      <c r="G89" s="308"/>
      <c r="H89" s="295" t="e">
        <f t="shared" si="5"/>
        <v>#DIV/0!</v>
      </c>
      <c r="I89" s="323"/>
    </row>
    <row r="90" spans="1:9" ht="30.75" customHeight="1" hidden="1">
      <c r="A90" s="286" t="s">
        <v>43</v>
      </c>
      <c r="B90" s="291" t="s">
        <v>212</v>
      </c>
      <c r="C90" s="288">
        <f t="shared" si="4"/>
        <v>0</v>
      </c>
      <c r="D90" s="289"/>
      <c r="E90" s="302"/>
      <c r="F90" s="308"/>
      <c r="G90" s="308"/>
      <c r="H90" s="295" t="e">
        <f t="shared" si="5"/>
        <v>#DIV/0!</v>
      </c>
      <c r="I90" s="323"/>
    </row>
    <row r="91" spans="1:9" ht="30.75" customHeight="1" hidden="1">
      <c r="A91" s="286" t="s">
        <v>43</v>
      </c>
      <c r="B91" s="291" t="s">
        <v>213</v>
      </c>
      <c r="C91" s="288">
        <f t="shared" si="4"/>
        <v>0</v>
      </c>
      <c r="D91" s="289"/>
      <c r="E91" s="302"/>
      <c r="F91" s="308"/>
      <c r="G91" s="308"/>
      <c r="H91" s="295" t="e">
        <f t="shared" si="5"/>
        <v>#DIV/0!</v>
      </c>
      <c r="I91" s="323"/>
    </row>
    <row r="92" spans="1:9" ht="48" customHeight="1" hidden="1">
      <c r="A92" s="286" t="s">
        <v>43</v>
      </c>
      <c r="B92" s="287" t="s">
        <v>214</v>
      </c>
      <c r="C92" s="288">
        <f t="shared" si="4"/>
        <v>100000000</v>
      </c>
      <c r="D92" s="289"/>
      <c r="E92" s="302"/>
      <c r="F92" s="308">
        <f>'[2]Biểu số 02'!F113</f>
        <v>100000000</v>
      </c>
      <c r="G92" s="308"/>
      <c r="H92" s="295">
        <f t="shared" si="5"/>
        <v>0</v>
      </c>
      <c r="I92" s="323"/>
    </row>
    <row r="93" spans="1:9" ht="30.75" customHeight="1" hidden="1">
      <c r="A93" s="286" t="s">
        <v>43</v>
      </c>
      <c r="B93" s="292" t="s">
        <v>215</v>
      </c>
      <c r="C93" s="288">
        <f t="shared" si="4"/>
        <v>0</v>
      </c>
      <c r="D93" s="289"/>
      <c r="E93" s="302"/>
      <c r="F93" s="308"/>
      <c r="G93" s="308"/>
      <c r="H93" s="295" t="e">
        <f t="shared" si="5"/>
        <v>#DIV/0!</v>
      </c>
      <c r="I93" s="323"/>
    </row>
    <row r="94" spans="1:9" ht="47.25" customHeight="1" hidden="1">
      <c r="A94" s="286" t="s">
        <v>43</v>
      </c>
      <c r="B94" s="287" t="s">
        <v>216</v>
      </c>
      <c r="C94" s="288">
        <f t="shared" si="4"/>
        <v>1140000000</v>
      </c>
      <c r="D94" s="289"/>
      <c r="E94" s="302"/>
      <c r="F94" s="308">
        <f>'[2]Biểu số 02'!F115</f>
        <v>1140000000</v>
      </c>
      <c r="G94" s="308">
        <f>'[2]bieu 1'!R116</f>
        <v>100000000</v>
      </c>
      <c r="H94" s="295">
        <f>G94/C94*100</f>
        <v>8.771929824561402</v>
      </c>
      <c r="I94" s="323"/>
    </row>
    <row r="95" spans="1:9" ht="30.75" customHeight="1" hidden="1">
      <c r="A95" s="293">
        <v>1</v>
      </c>
      <c r="B95" s="291" t="s">
        <v>217</v>
      </c>
      <c r="C95" s="288">
        <f t="shared" si="4"/>
        <v>100000000</v>
      </c>
      <c r="D95" s="289"/>
      <c r="E95" s="302">
        <f>'[2]Biểu số 02'!F116</f>
        <v>100000000</v>
      </c>
      <c r="F95" s="308"/>
      <c r="G95" s="308"/>
      <c r="H95" s="295">
        <f aca="true" t="shared" si="6" ref="H95:H112">G95/C95*100</f>
        <v>0</v>
      </c>
      <c r="I95" s="323"/>
    </row>
    <row r="96" spans="1:9" ht="30.75" customHeight="1" hidden="1">
      <c r="A96" s="293">
        <v>2</v>
      </c>
      <c r="B96" s="291" t="s">
        <v>218</v>
      </c>
      <c r="C96" s="288">
        <f t="shared" si="4"/>
        <v>100000000</v>
      </c>
      <c r="D96" s="289"/>
      <c r="E96" s="302">
        <f>'[2]Biểu số 02'!F117</f>
        <v>100000000</v>
      </c>
      <c r="F96" s="308"/>
      <c r="G96" s="308"/>
      <c r="H96" s="295">
        <f t="shared" si="6"/>
        <v>0</v>
      </c>
      <c r="I96" s="323"/>
    </row>
    <row r="97" spans="1:9" ht="30.75" customHeight="1" hidden="1">
      <c r="A97" s="293">
        <v>3</v>
      </c>
      <c r="B97" s="291" t="s">
        <v>219</v>
      </c>
      <c r="C97" s="288">
        <f t="shared" si="4"/>
        <v>100000000</v>
      </c>
      <c r="D97" s="289"/>
      <c r="E97" s="302">
        <f>'[2]Biểu số 02'!F118</f>
        <v>100000000</v>
      </c>
      <c r="F97" s="308"/>
      <c r="G97" s="308"/>
      <c r="H97" s="295">
        <f t="shared" si="6"/>
        <v>0</v>
      </c>
      <c r="I97" s="323"/>
    </row>
    <row r="98" spans="1:9" ht="30.75" customHeight="1" hidden="1">
      <c r="A98" s="293">
        <v>4</v>
      </c>
      <c r="B98" s="291" t="s">
        <v>220</v>
      </c>
      <c r="C98" s="288">
        <f t="shared" si="4"/>
        <v>100000000</v>
      </c>
      <c r="D98" s="289"/>
      <c r="E98" s="302">
        <f>'[2]Biểu số 02'!F119</f>
        <v>100000000</v>
      </c>
      <c r="F98" s="308"/>
      <c r="G98" s="308"/>
      <c r="H98" s="295">
        <f t="shared" si="6"/>
        <v>0</v>
      </c>
      <c r="I98" s="323"/>
    </row>
    <row r="99" spans="1:9" ht="15" hidden="1">
      <c r="A99" s="293">
        <v>5</v>
      </c>
      <c r="B99" s="291" t="s">
        <v>221</v>
      </c>
      <c r="C99" s="288">
        <f t="shared" si="4"/>
        <v>60000000</v>
      </c>
      <c r="D99" s="289"/>
      <c r="E99" s="302">
        <f>'[2]Biểu số 02'!F120</f>
        <v>60000000</v>
      </c>
      <c r="F99" s="308"/>
      <c r="G99" s="308"/>
      <c r="H99" s="295">
        <f t="shared" si="6"/>
        <v>0</v>
      </c>
      <c r="I99" s="323"/>
    </row>
    <row r="100" spans="1:9" ht="15" hidden="1">
      <c r="A100" s="293">
        <v>6</v>
      </c>
      <c r="B100" s="291" t="s">
        <v>222</v>
      </c>
      <c r="C100" s="288">
        <f t="shared" si="4"/>
        <v>70000000</v>
      </c>
      <c r="D100" s="289"/>
      <c r="E100" s="302">
        <f>'[2]Biểu số 02'!F121</f>
        <v>70000000</v>
      </c>
      <c r="F100" s="308"/>
      <c r="G100" s="308"/>
      <c r="H100" s="295">
        <f t="shared" si="6"/>
        <v>0</v>
      </c>
      <c r="I100" s="323"/>
    </row>
    <row r="101" spans="1:9" ht="15" hidden="1">
      <c r="A101" s="293">
        <v>7</v>
      </c>
      <c r="B101" s="291" t="s">
        <v>223</v>
      </c>
      <c r="C101" s="288">
        <f t="shared" si="4"/>
        <v>150000000</v>
      </c>
      <c r="D101" s="289"/>
      <c r="E101" s="302">
        <f>'[2]Biểu số 02'!F122</f>
        <v>150000000</v>
      </c>
      <c r="F101" s="308"/>
      <c r="G101" s="308"/>
      <c r="H101" s="295">
        <f t="shared" si="6"/>
        <v>0</v>
      </c>
      <c r="I101" s="323"/>
    </row>
    <row r="102" spans="1:9" ht="15" hidden="1">
      <c r="A102" s="293">
        <v>8</v>
      </c>
      <c r="B102" s="291" t="s">
        <v>224</v>
      </c>
      <c r="C102" s="288">
        <f>SUM(D102:F102)</f>
        <v>100000000</v>
      </c>
      <c r="D102" s="289"/>
      <c r="E102" s="302">
        <f>'[2]Biểu số 02'!F123</f>
        <v>100000000</v>
      </c>
      <c r="F102" s="308"/>
      <c r="G102" s="308"/>
      <c r="H102" s="295">
        <f t="shared" si="6"/>
        <v>0</v>
      </c>
      <c r="I102" s="323"/>
    </row>
    <row r="103" spans="1:9" ht="15" hidden="1">
      <c r="A103" s="293">
        <v>9</v>
      </c>
      <c r="B103" s="291" t="s">
        <v>225</v>
      </c>
      <c r="C103" s="289">
        <f t="shared" si="4"/>
        <v>100000000</v>
      </c>
      <c r="D103" s="289"/>
      <c r="E103" s="302">
        <f>'[2]Biểu số 02'!F124</f>
        <v>100000000</v>
      </c>
      <c r="F103" s="308"/>
      <c r="G103" s="308"/>
      <c r="H103" s="295">
        <f t="shared" si="6"/>
        <v>0</v>
      </c>
      <c r="I103" s="323"/>
    </row>
    <row r="104" spans="1:9" ht="15" hidden="1">
      <c r="A104" s="293">
        <v>10</v>
      </c>
      <c r="B104" s="291" t="s">
        <v>226</v>
      </c>
      <c r="C104" s="289">
        <f t="shared" si="4"/>
        <v>100000000</v>
      </c>
      <c r="D104" s="289"/>
      <c r="E104" s="302">
        <f>'[2]Biểu số 02'!F125</f>
        <v>100000000</v>
      </c>
      <c r="F104" s="308"/>
      <c r="G104" s="308"/>
      <c r="H104" s="295">
        <f t="shared" si="6"/>
        <v>0</v>
      </c>
      <c r="I104" s="323"/>
    </row>
    <row r="105" spans="1:9" ht="15" hidden="1">
      <c r="A105" s="293">
        <v>11</v>
      </c>
      <c r="B105" s="291" t="s">
        <v>189</v>
      </c>
      <c r="C105" s="289">
        <f t="shared" si="4"/>
        <v>100000000</v>
      </c>
      <c r="D105" s="289"/>
      <c r="E105" s="302">
        <f>'[2]Biểu số 02'!F126</f>
        <v>100000000</v>
      </c>
      <c r="F105" s="308"/>
      <c r="G105" s="308"/>
      <c r="H105" s="295">
        <f t="shared" si="6"/>
        <v>0</v>
      </c>
      <c r="I105" s="323"/>
    </row>
    <row r="106" spans="1:9" ht="15" hidden="1">
      <c r="A106" s="293">
        <v>12</v>
      </c>
      <c r="B106" s="291" t="s">
        <v>227</v>
      </c>
      <c r="C106" s="289">
        <f t="shared" si="4"/>
        <v>60000000</v>
      </c>
      <c r="D106" s="289"/>
      <c r="E106" s="302">
        <f>'[2]Biểu số 02'!F127</f>
        <v>60000000</v>
      </c>
      <c r="F106" s="308"/>
      <c r="G106" s="308"/>
      <c r="H106" s="295">
        <f t="shared" si="6"/>
        <v>0</v>
      </c>
      <c r="I106" s="323"/>
    </row>
    <row r="107" spans="1:9" ht="28.5" hidden="1">
      <c r="A107" s="293"/>
      <c r="B107" s="286" t="s">
        <v>263</v>
      </c>
      <c r="C107" s="288">
        <f t="shared" si="4"/>
        <v>1420000000</v>
      </c>
      <c r="D107" s="289"/>
      <c r="E107" s="302"/>
      <c r="F107" s="305">
        <f>F108+F112</f>
        <v>1420000000</v>
      </c>
      <c r="G107" s="305">
        <f>G108+G112</f>
        <v>0</v>
      </c>
      <c r="H107" s="295">
        <f t="shared" si="6"/>
        <v>0</v>
      </c>
      <c r="I107" s="323"/>
    </row>
    <row r="108" spans="1:9" ht="85.5" hidden="1">
      <c r="A108" s="286"/>
      <c r="B108" s="294" t="s">
        <v>264</v>
      </c>
      <c r="C108" s="288">
        <f t="shared" si="4"/>
        <v>1000000000</v>
      </c>
      <c r="D108" s="289"/>
      <c r="E108" s="302"/>
      <c r="F108" s="305">
        <f>'[2]bieu 1'!F130</f>
        <v>1000000000</v>
      </c>
      <c r="G108" s="308"/>
      <c r="H108" s="295">
        <f t="shared" si="6"/>
        <v>0</v>
      </c>
      <c r="I108" s="323"/>
    </row>
    <row r="109" spans="1:9" ht="45" hidden="1">
      <c r="A109" s="293">
        <v>1</v>
      </c>
      <c r="B109" s="291" t="s">
        <v>265</v>
      </c>
      <c r="C109" s="288">
        <f t="shared" si="4"/>
        <v>300000000</v>
      </c>
      <c r="D109" s="289"/>
      <c r="E109" s="302"/>
      <c r="F109" s="305">
        <f>'[2]bieu 1'!F131</f>
        <v>300000000</v>
      </c>
      <c r="G109" s="308"/>
      <c r="H109" s="295">
        <f t="shared" si="6"/>
        <v>0</v>
      </c>
      <c r="I109" s="323"/>
    </row>
    <row r="110" spans="1:9" ht="45" hidden="1">
      <c r="A110" s="293">
        <v>2</v>
      </c>
      <c r="B110" s="291" t="s">
        <v>266</v>
      </c>
      <c r="C110" s="288">
        <f t="shared" si="4"/>
        <v>400000000</v>
      </c>
      <c r="D110" s="289"/>
      <c r="E110" s="302"/>
      <c r="F110" s="305">
        <f>'[2]bieu 1'!F132</f>
        <v>400000000</v>
      </c>
      <c r="G110" s="308"/>
      <c r="H110" s="295">
        <f t="shared" si="6"/>
        <v>0</v>
      </c>
      <c r="I110" s="323"/>
    </row>
    <row r="111" spans="1:9" ht="45" hidden="1">
      <c r="A111" s="293">
        <v>3</v>
      </c>
      <c r="B111" s="291" t="s">
        <v>267</v>
      </c>
      <c r="C111" s="288">
        <f t="shared" si="4"/>
        <v>300000000</v>
      </c>
      <c r="D111" s="289"/>
      <c r="E111" s="302"/>
      <c r="F111" s="305">
        <f>'[2]bieu 1'!F133</f>
        <v>300000000</v>
      </c>
      <c r="G111" s="308"/>
      <c r="H111" s="295">
        <f t="shared" si="6"/>
        <v>0</v>
      </c>
      <c r="I111" s="323"/>
    </row>
    <row r="112" spans="1:9" ht="71.25" hidden="1">
      <c r="A112" s="286" t="s">
        <v>5</v>
      </c>
      <c r="B112" s="223" t="s">
        <v>268</v>
      </c>
      <c r="C112" s="288">
        <f t="shared" si="4"/>
        <v>420000000</v>
      </c>
      <c r="D112" s="289"/>
      <c r="E112" s="302"/>
      <c r="F112" s="306">
        <f>'[2]bieu 1'!F134</f>
        <v>420000000</v>
      </c>
      <c r="G112" s="308"/>
      <c r="H112" s="295">
        <f t="shared" si="6"/>
        <v>0</v>
      </c>
      <c r="I112" s="323"/>
    </row>
    <row r="113" spans="1:9" ht="15.75" customHeight="1">
      <c r="A113" s="293">
        <v>3</v>
      </c>
      <c r="B113" s="265" t="s">
        <v>327</v>
      </c>
      <c r="C113" s="289"/>
      <c r="D113" s="289"/>
      <c r="E113" s="302">
        <v>8579000000</v>
      </c>
      <c r="F113" s="308"/>
      <c r="G113" s="302">
        <v>8429000000</v>
      </c>
      <c r="H113" s="295"/>
      <c r="I113" s="324"/>
    </row>
    <row r="114" spans="1:9" ht="36.75" customHeight="1">
      <c r="A114" s="286" t="s">
        <v>5</v>
      </c>
      <c r="B114" s="223" t="s">
        <v>31</v>
      </c>
      <c r="C114" s="288">
        <f>C115+C121</f>
        <v>1714713389</v>
      </c>
      <c r="D114" s="288">
        <f>D115+D121</f>
        <v>184713389</v>
      </c>
      <c r="E114" s="300">
        <f>E115+E121</f>
        <v>1342000000</v>
      </c>
      <c r="F114" s="307">
        <f>F115+F121</f>
        <v>0</v>
      </c>
      <c r="G114" s="300">
        <f>G115+G121</f>
        <v>1459000000</v>
      </c>
      <c r="H114" s="295">
        <f>G114/C114*100</f>
        <v>85.08710606446428</v>
      </c>
      <c r="I114" s="323"/>
    </row>
    <row r="115" spans="1:9" s="417" customFormat="1" ht="21" customHeight="1">
      <c r="A115" s="286" t="s">
        <v>27</v>
      </c>
      <c r="B115" s="223" t="s">
        <v>28</v>
      </c>
      <c r="C115" s="288">
        <f>SUM(C116:C119)</f>
        <v>184713389</v>
      </c>
      <c r="D115" s="288">
        <f>SUM(D116:D119)</f>
        <v>184713389</v>
      </c>
      <c r="E115" s="300">
        <f>SUM(E116:E119)</f>
        <v>0</v>
      </c>
      <c r="F115" s="307">
        <f>SUM(F116:F119)</f>
        <v>0</v>
      </c>
      <c r="G115" s="300">
        <f>SUM(G116:G119)</f>
        <v>0</v>
      </c>
      <c r="H115" s="295"/>
      <c r="I115" s="323"/>
    </row>
    <row r="116" spans="1:9" ht="21" customHeight="1" hidden="1">
      <c r="A116" s="293" t="s">
        <v>43</v>
      </c>
      <c r="B116" s="296" t="s">
        <v>228</v>
      </c>
      <c r="C116" s="289">
        <f>D116+E116+F116</f>
        <v>0</v>
      </c>
      <c r="D116" s="289"/>
      <c r="E116" s="302"/>
      <c r="F116" s="308"/>
      <c r="G116" s="302"/>
      <c r="H116" s="295" t="e">
        <f>G116/C116*100</f>
        <v>#DIV/0!</v>
      </c>
      <c r="I116" s="323"/>
    </row>
    <row r="117" spans="1:9" ht="27.75" customHeight="1" hidden="1">
      <c r="A117" s="293" t="s">
        <v>43</v>
      </c>
      <c r="B117" s="297" t="s">
        <v>229</v>
      </c>
      <c r="C117" s="289">
        <f>D117+E117+F117</f>
        <v>0</v>
      </c>
      <c r="D117" s="289"/>
      <c r="E117" s="302"/>
      <c r="F117" s="308"/>
      <c r="G117" s="302"/>
      <c r="H117" s="295" t="e">
        <f>G117/C117*100</f>
        <v>#DIV/0!</v>
      </c>
      <c r="I117" s="323"/>
    </row>
    <row r="118" spans="1:9" ht="33" customHeight="1" hidden="1">
      <c r="A118" s="293" t="s">
        <v>43</v>
      </c>
      <c r="B118" s="297" t="s">
        <v>230</v>
      </c>
      <c r="C118" s="289">
        <f>D118+E118+F118</f>
        <v>0</v>
      </c>
      <c r="D118" s="289"/>
      <c r="E118" s="302"/>
      <c r="F118" s="308"/>
      <c r="G118" s="302"/>
      <c r="H118" s="295" t="e">
        <f>G118/C118*100</f>
        <v>#DIV/0!</v>
      </c>
      <c r="I118" s="323"/>
    </row>
    <row r="119" spans="1:9" ht="57" hidden="1">
      <c r="A119" s="293" t="s">
        <v>43</v>
      </c>
      <c r="B119" s="298" t="s">
        <v>269</v>
      </c>
      <c r="C119" s="289">
        <f>D119+E119+F119</f>
        <v>184713389</v>
      </c>
      <c r="D119" s="289">
        <v>184713389</v>
      </c>
      <c r="E119" s="302"/>
      <c r="F119" s="308"/>
      <c r="G119" s="302"/>
      <c r="H119" s="295"/>
      <c r="I119" s="323"/>
    </row>
    <row r="120" spans="1:9" ht="21" customHeight="1" hidden="1">
      <c r="A120" s="293"/>
      <c r="B120" s="299"/>
      <c r="C120" s="289">
        <f>D120+E120+F120</f>
        <v>0</v>
      </c>
      <c r="D120" s="289"/>
      <c r="E120" s="302"/>
      <c r="F120" s="308"/>
      <c r="G120" s="302"/>
      <c r="H120" s="295"/>
      <c r="I120" s="323"/>
    </row>
    <row r="121" spans="1:9" s="417" customFormat="1" ht="21" customHeight="1">
      <c r="A121" s="286" t="s">
        <v>30</v>
      </c>
      <c r="B121" s="223" t="s">
        <v>29</v>
      </c>
      <c r="C121" s="300">
        <f>C122+C126</f>
        <v>1530000000</v>
      </c>
      <c r="D121" s="300">
        <f>D122+D126</f>
        <v>0</v>
      </c>
      <c r="E121" s="300">
        <v>1342000000</v>
      </c>
      <c r="F121" s="307">
        <f>F122+F126</f>
        <v>0</v>
      </c>
      <c r="G121" s="300">
        <v>1459000000</v>
      </c>
      <c r="H121" s="295">
        <f aca="true" t="shared" si="7" ref="H121:H128">G121/C121*100</f>
        <v>95.35947712418302</v>
      </c>
      <c r="I121" s="323"/>
    </row>
    <row r="122" spans="1:9" s="417" customFormat="1" ht="21" customHeight="1" hidden="1">
      <c r="A122" s="286" t="s">
        <v>270</v>
      </c>
      <c r="B122" s="223" t="s">
        <v>271</v>
      </c>
      <c r="C122" s="300">
        <f>SUM(C123:C125)</f>
        <v>630000000</v>
      </c>
      <c r="D122" s="300">
        <f>SUM(D123:D125)</f>
        <v>0</v>
      </c>
      <c r="E122" s="300">
        <f>SUM(E123:E125)</f>
        <v>630000000</v>
      </c>
      <c r="F122" s="307">
        <f>SUM(F123:F125)</f>
        <v>0</v>
      </c>
      <c r="G122" s="385">
        <f>SUM(G123:G125)</f>
        <v>0</v>
      </c>
      <c r="H122" s="290"/>
      <c r="I122" s="323"/>
    </row>
    <row r="123" spans="1:20" ht="36" customHeight="1" hidden="1">
      <c r="A123" s="293" t="s">
        <v>43</v>
      </c>
      <c r="B123" s="325" t="s">
        <v>299</v>
      </c>
      <c r="C123" s="302">
        <f>SUM(D123:F123)</f>
        <v>630000000</v>
      </c>
      <c r="D123" s="302"/>
      <c r="E123" s="326">
        <v>630000000</v>
      </c>
      <c r="F123" s="308"/>
      <c r="G123" s="384"/>
      <c r="H123" s="290"/>
      <c r="I123" s="323">
        <f>G123+G124+G39</f>
        <v>29724000000</v>
      </c>
      <c r="J123" s="402" t="s">
        <v>232</v>
      </c>
      <c r="T123" s="418"/>
    </row>
    <row r="124" spans="1:10" ht="45.75" customHeight="1" hidden="1">
      <c r="A124" s="293" t="s">
        <v>43</v>
      </c>
      <c r="B124" s="292" t="s">
        <v>233</v>
      </c>
      <c r="C124" s="300">
        <f>SUM(D124:F124)</f>
        <v>0</v>
      </c>
      <c r="D124" s="302"/>
      <c r="E124" s="302"/>
      <c r="F124" s="308"/>
      <c r="G124" s="384"/>
      <c r="H124" s="290" t="e">
        <f t="shared" si="7"/>
        <v>#DIV/0!</v>
      </c>
      <c r="I124" s="323"/>
      <c r="J124" s="402" t="s">
        <v>234</v>
      </c>
    </row>
    <row r="125" spans="1:10" ht="30" hidden="1">
      <c r="A125" s="293" t="s">
        <v>43</v>
      </c>
      <c r="B125" s="301" t="s">
        <v>235</v>
      </c>
      <c r="C125" s="300">
        <f>SUM(D125:F125)</f>
        <v>0</v>
      </c>
      <c r="D125" s="302"/>
      <c r="E125" s="302"/>
      <c r="F125" s="308"/>
      <c r="G125" s="384"/>
      <c r="H125" s="290" t="e">
        <f t="shared" si="7"/>
        <v>#DIV/0!</v>
      </c>
      <c r="I125" s="323"/>
      <c r="J125" s="402" t="s">
        <v>236</v>
      </c>
    </row>
    <row r="126" spans="1:10" s="417" customFormat="1" ht="26.25" customHeight="1" hidden="1">
      <c r="A126" s="286" t="s">
        <v>270</v>
      </c>
      <c r="B126" s="223" t="s">
        <v>272</v>
      </c>
      <c r="C126" s="303">
        <f>SUM(C127:C135)</f>
        <v>900000000</v>
      </c>
      <c r="D126" s="303">
        <f>SUM(D127:D135)</f>
        <v>0</v>
      </c>
      <c r="E126" s="303">
        <f>SUM(E127:E135)</f>
        <v>900000000</v>
      </c>
      <c r="F126" s="309">
        <f>SUM(F127:F135)</f>
        <v>0</v>
      </c>
      <c r="G126" s="385"/>
      <c r="H126" s="290">
        <f t="shared" si="7"/>
        <v>0</v>
      </c>
      <c r="I126" s="327"/>
      <c r="J126" s="419">
        <f>C126-E126</f>
        <v>0</v>
      </c>
    </row>
    <row r="127" spans="1:20" ht="30" hidden="1">
      <c r="A127" s="328">
        <v>1</v>
      </c>
      <c r="B127" s="329" t="s">
        <v>300</v>
      </c>
      <c r="C127" s="302">
        <f>SUM(D127:F127)</f>
        <v>500000000</v>
      </c>
      <c r="D127" s="302"/>
      <c r="E127" s="326">
        <v>500000000</v>
      </c>
      <c r="F127" s="414"/>
      <c r="G127" s="420"/>
      <c r="H127" s="290"/>
      <c r="I127" s="323"/>
      <c r="T127" s="421"/>
    </row>
    <row r="128" spans="1:10" ht="60" hidden="1">
      <c r="A128" s="330">
        <v>2</v>
      </c>
      <c r="B128" s="331" t="s">
        <v>301</v>
      </c>
      <c r="C128" s="302">
        <f>SUM(D128:F128)</f>
        <v>400000000</v>
      </c>
      <c r="D128" s="302"/>
      <c r="E128" s="326">
        <v>400000000</v>
      </c>
      <c r="F128" s="414"/>
      <c r="G128" s="420"/>
      <c r="H128" s="290">
        <f t="shared" si="7"/>
        <v>0</v>
      </c>
      <c r="I128" s="332">
        <v>3565.922</v>
      </c>
      <c r="J128" s="402" t="s">
        <v>273</v>
      </c>
    </row>
    <row r="129" spans="1:9" ht="15" hidden="1">
      <c r="A129" s="286"/>
      <c r="B129" s="301"/>
      <c r="C129" s="302"/>
      <c r="D129" s="414"/>
      <c r="E129" s="414"/>
      <c r="F129" s="422"/>
      <c r="G129" s="420"/>
      <c r="H129" s="290"/>
      <c r="I129" s="414"/>
    </row>
    <row r="130" spans="1:9" ht="15" hidden="1">
      <c r="A130" s="286"/>
      <c r="B130" s="301"/>
      <c r="C130" s="302"/>
      <c r="D130" s="414"/>
      <c r="E130" s="414"/>
      <c r="F130" s="422"/>
      <c r="G130" s="420"/>
      <c r="H130" s="290"/>
      <c r="I130" s="414"/>
    </row>
    <row r="131" spans="1:9" ht="15" hidden="1">
      <c r="A131" s="286"/>
      <c r="B131" s="301"/>
      <c r="C131" s="302"/>
      <c r="D131" s="414"/>
      <c r="E131" s="414"/>
      <c r="F131" s="422"/>
      <c r="G131" s="420"/>
      <c r="H131" s="290"/>
      <c r="I131" s="414"/>
    </row>
    <row r="132" spans="1:9" ht="15" hidden="1">
      <c r="A132" s="286"/>
      <c r="B132" s="301"/>
      <c r="C132" s="302"/>
      <c r="D132" s="414"/>
      <c r="E132" s="414"/>
      <c r="F132" s="422"/>
      <c r="G132" s="420"/>
      <c r="H132" s="290"/>
      <c r="I132" s="414"/>
    </row>
    <row r="133" spans="1:9" ht="15" hidden="1">
      <c r="A133" s="286"/>
      <c r="B133" s="301"/>
      <c r="C133" s="302"/>
      <c r="D133" s="414"/>
      <c r="E133" s="414"/>
      <c r="F133" s="422"/>
      <c r="G133" s="420"/>
      <c r="H133" s="290"/>
      <c r="I133" s="414"/>
    </row>
    <row r="134" spans="1:9" ht="15" hidden="1">
      <c r="A134" s="286"/>
      <c r="B134" s="301"/>
      <c r="C134" s="302"/>
      <c r="D134" s="414"/>
      <c r="E134" s="414"/>
      <c r="F134" s="422"/>
      <c r="G134" s="420"/>
      <c r="H134" s="290"/>
      <c r="I134" s="414"/>
    </row>
    <row r="135" spans="1:42" ht="16.5">
      <c r="A135" s="423"/>
      <c r="B135" s="333"/>
      <c r="C135" s="334"/>
      <c r="D135" s="423"/>
      <c r="E135" s="423"/>
      <c r="F135" s="424"/>
      <c r="G135" s="425"/>
      <c r="H135" s="335"/>
      <c r="I135" s="423"/>
      <c r="W135" s="426" t="s">
        <v>308</v>
      </c>
      <c r="X135" s="426" t="s">
        <v>308</v>
      </c>
      <c r="Y135" s="426" t="s">
        <v>308</v>
      </c>
      <c r="Z135" s="427" t="s">
        <v>307</v>
      </c>
      <c r="AA135" s="428" t="s">
        <v>317</v>
      </c>
      <c r="AB135" s="428" t="s">
        <v>318</v>
      </c>
      <c r="AC135" s="429" t="s">
        <v>308</v>
      </c>
      <c r="AD135" s="428" t="s">
        <v>307</v>
      </c>
      <c r="AE135" s="430" t="s">
        <v>312</v>
      </c>
      <c r="AF135" s="429" t="s">
        <v>308</v>
      </c>
      <c r="AG135" s="431" t="s">
        <v>273</v>
      </c>
      <c r="AH135" s="431" t="s">
        <v>309</v>
      </c>
      <c r="AI135" s="431" t="s">
        <v>310</v>
      </c>
      <c r="AJ135" s="431" t="s">
        <v>273</v>
      </c>
      <c r="AK135" s="431" t="s">
        <v>273</v>
      </c>
      <c r="AL135" s="431" t="s">
        <v>273</v>
      </c>
      <c r="AM135" s="431" t="s">
        <v>273</v>
      </c>
      <c r="AN135" s="431" t="s">
        <v>311</v>
      </c>
      <c r="AO135" s="431" t="s">
        <v>322</v>
      </c>
      <c r="AP135" s="402" t="s">
        <v>321</v>
      </c>
    </row>
    <row r="136" spans="23:42" ht="16.5">
      <c r="W136" s="433">
        <v>281</v>
      </c>
      <c r="X136" s="433">
        <v>282</v>
      </c>
      <c r="Y136" s="433">
        <v>283</v>
      </c>
      <c r="Z136" s="433">
        <v>361</v>
      </c>
      <c r="AA136" s="430">
        <v>221</v>
      </c>
      <c r="AB136" s="430">
        <v>161</v>
      </c>
      <c r="AC136" s="430">
        <v>292</v>
      </c>
      <c r="AD136" s="430">
        <v>341</v>
      </c>
      <c r="AE136" s="430">
        <v>278</v>
      </c>
      <c r="AF136" s="430">
        <v>338</v>
      </c>
      <c r="AG136" s="434" t="s">
        <v>313</v>
      </c>
      <c r="AH136" s="431">
        <v>171</v>
      </c>
      <c r="AI136" s="431">
        <v>398</v>
      </c>
      <c r="AJ136" s="434" t="s">
        <v>314</v>
      </c>
      <c r="AK136" s="434" t="s">
        <v>315</v>
      </c>
      <c r="AL136" s="434" t="s">
        <v>313</v>
      </c>
      <c r="AM136" s="434" t="s">
        <v>316</v>
      </c>
      <c r="AN136" s="431">
        <v>281</v>
      </c>
      <c r="AO136" s="431">
        <v>311</v>
      </c>
      <c r="AP136" s="402">
        <v>139</v>
      </c>
    </row>
    <row r="137" spans="2:41" s="435" customFormat="1" ht="14.25" customHeight="1" hidden="1">
      <c r="B137" s="436" t="s">
        <v>274</v>
      </c>
      <c r="C137" s="437"/>
      <c r="D137" s="437"/>
      <c r="F137" s="495"/>
      <c r="G137" s="495"/>
      <c r="H137" s="495"/>
      <c r="I137" s="438"/>
      <c r="J137" s="438"/>
      <c r="K137" s="438" t="s">
        <v>275</v>
      </c>
      <c r="L137" s="438"/>
      <c r="M137" s="438"/>
      <c r="N137" s="436"/>
      <c r="O137" s="439"/>
      <c r="W137" s="433">
        <v>281</v>
      </c>
      <c r="X137" s="433">
        <v>282</v>
      </c>
      <c r="Y137" s="433">
        <v>283</v>
      </c>
      <c r="Z137" s="433">
        <v>361</v>
      </c>
      <c r="AA137" s="430">
        <v>221</v>
      </c>
      <c r="AB137" s="430">
        <v>161</v>
      </c>
      <c r="AC137" s="430">
        <v>292</v>
      </c>
      <c r="AD137" s="430">
        <v>341</v>
      </c>
      <c r="AE137" s="430">
        <v>278</v>
      </c>
      <c r="AF137" s="430">
        <v>338</v>
      </c>
      <c r="AG137" s="434" t="s">
        <v>313</v>
      </c>
      <c r="AH137" s="431">
        <v>171</v>
      </c>
      <c r="AI137" s="431">
        <v>398</v>
      </c>
      <c r="AJ137" s="434" t="s">
        <v>314</v>
      </c>
      <c r="AK137" s="434" t="s">
        <v>315</v>
      </c>
      <c r="AL137" s="434" t="s">
        <v>313</v>
      </c>
      <c r="AM137" s="434" t="s">
        <v>316</v>
      </c>
      <c r="AN137" s="431">
        <v>281</v>
      </c>
      <c r="AO137" s="431"/>
    </row>
    <row r="138" spans="2:41" s="435" customFormat="1" ht="16.5" hidden="1">
      <c r="B138" s="436" t="s">
        <v>276</v>
      </c>
      <c r="G138" s="440"/>
      <c r="O138" s="441"/>
      <c r="W138" s="442"/>
      <c r="X138" s="442"/>
      <c r="Y138" s="442"/>
      <c r="Z138" s="442"/>
      <c r="AA138" s="443"/>
      <c r="AB138" s="443"/>
      <c r="AC138" s="443"/>
      <c r="AD138" s="443"/>
      <c r="AE138" s="443"/>
      <c r="AF138" s="443"/>
      <c r="AG138" s="444"/>
      <c r="AH138" s="444"/>
      <c r="AI138" s="444"/>
      <c r="AJ138" s="444"/>
      <c r="AK138" s="444"/>
      <c r="AL138" s="444"/>
      <c r="AM138" s="444"/>
      <c r="AN138" s="444"/>
      <c r="AO138" s="444"/>
    </row>
    <row r="139" spans="2:15" s="435" customFormat="1" ht="12.75" hidden="1">
      <c r="B139" s="436"/>
      <c r="G139" s="440"/>
      <c r="O139" s="441"/>
    </row>
    <row r="140" spans="2:15" s="435" customFormat="1" ht="12.75" hidden="1">
      <c r="B140" s="436"/>
      <c r="G140" s="440"/>
      <c r="O140" s="441"/>
    </row>
    <row r="141" spans="2:15" s="435" customFormat="1" ht="12.75" hidden="1">
      <c r="B141" s="436"/>
      <c r="G141" s="440"/>
      <c r="O141" s="441"/>
    </row>
    <row r="142" spans="2:15" s="435" customFormat="1" ht="12.75" hidden="1">
      <c r="B142" s="436"/>
      <c r="G142" s="440"/>
      <c r="O142" s="441"/>
    </row>
    <row r="143" spans="2:15" s="435" customFormat="1" ht="12.75" hidden="1">
      <c r="B143" s="436" t="s">
        <v>277</v>
      </c>
      <c r="C143" s="438"/>
      <c r="D143" s="438"/>
      <c r="E143" s="438"/>
      <c r="F143" s="438"/>
      <c r="G143" s="445"/>
      <c r="H143" s="438"/>
      <c r="O143" s="441"/>
    </row>
    <row r="144" ht="15" hidden="1"/>
    <row r="145" ht="15" hidden="1"/>
    <row r="146" ht="15" hidden="1"/>
    <row r="148" spans="22:44" ht="15">
      <c r="V148" s="402" t="s">
        <v>319</v>
      </c>
      <c r="W148" s="408">
        <f>SUM(W149:W152)</f>
        <v>192000000</v>
      </c>
      <c r="X148" s="408">
        <f aca="true" t="shared" si="8" ref="X148:AR148">SUM(X149:X152)</f>
        <v>0</v>
      </c>
      <c r="Y148" s="408">
        <f t="shared" si="8"/>
        <v>0</v>
      </c>
      <c r="Z148" s="408">
        <f t="shared" si="8"/>
        <v>62000000</v>
      </c>
      <c r="AA148" s="408">
        <f t="shared" si="8"/>
        <v>0</v>
      </c>
      <c r="AB148" s="408">
        <f t="shared" si="8"/>
        <v>116000000</v>
      </c>
      <c r="AC148" s="408">
        <f t="shared" si="8"/>
        <v>313000000</v>
      </c>
      <c r="AD148" s="408">
        <f t="shared" si="8"/>
        <v>0</v>
      </c>
      <c r="AE148" s="408">
        <f t="shared" si="8"/>
        <v>0</v>
      </c>
      <c r="AF148" s="408">
        <f t="shared" si="8"/>
        <v>0</v>
      </c>
      <c r="AG148" s="408">
        <f t="shared" si="8"/>
        <v>0</v>
      </c>
      <c r="AH148" s="408">
        <f t="shared" si="8"/>
        <v>0</v>
      </c>
      <c r="AI148" s="408">
        <f t="shared" si="8"/>
        <v>627000000</v>
      </c>
      <c r="AJ148" s="408">
        <f t="shared" si="8"/>
        <v>95000000</v>
      </c>
      <c r="AK148" s="408">
        <f t="shared" si="8"/>
        <v>0</v>
      </c>
      <c r="AL148" s="408">
        <f t="shared" si="8"/>
        <v>1698000000</v>
      </c>
      <c r="AM148" s="408">
        <f t="shared" si="8"/>
        <v>0</v>
      </c>
      <c r="AN148" s="408">
        <f t="shared" si="8"/>
        <v>0</v>
      </c>
      <c r="AO148" s="408">
        <f t="shared" si="8"/>
        <v>90000000</v>
      </c>
      <c r="AP148" s="408">
        <f t="shared" si="8"/>
        <v>156000000</v>
      </c>
      <c r="AQ148" s="408">
        <f t="shared" si="8"/>
        <v>0</v>
      </c>
      <c r="AR148" s="408">
        <f t="shared" si="8"/>
        <v>0</v>
      </c>
    </row>
    <row r="149" spans="23:43" ht="15">
      <c r="W149" s="407">
        <v>192000000</v>
      </c>
      <c r="X149" s="446"/>
      <c r="Y149" s="446"/>
      <c r="Z149" s="407">
        <v>62000000</v>
      </c>
      <c r="AA149" s="446"/>
      <c r="AB149" s="432"/>
      <c r="AC149" s="407">
        <v>6000000</v>
      </c>
      <c r="AD149" s="446"/>
      <c r="AE149" s="446"/>
      <c r="AF149" s="446"/>
      <c r="AG149" s="446"/>
      <c r="AH149" s="446"/>
      <c r="AI149" s="407">
        <v>19000000</v>
      </c>
      <c r="AJ149" s="407">
        <v>95000000</v>
      </c>
      <c r="AK149" s="446"/>
      <c r="AL149" s="407">
        <f>80000000</f>
        <v>80000000</v>
      </c>
      <c r="AM149" s="446"/>
      <c r="AN149" s="446"/>
      <c r="AO149" s="407">
        <v>90000000</v>
      </c>
      <c r="AP149" s="407">
        <v>156000000</v>
      </c>
      <c r="AQ149" s="432"/>
    </row>
    <row r="150" spans="23:43" ht="15">
      <c r="W150" s="446"/>
      <c r="X150" s="446"/>
      <c r="Y150" s="446"/>
      <c r="Z150" s="446"/>
      <c r="AA150" s="446"/>
      <c r="AB150" s="407">
        <v>116000000</v>
      </c>
      <c r="AC150" s="446"/>
      <c r="AD150" s="446"/>
      <c r="AE150" s="446"/>
      <c r="AF150" s="446"/>
      <c r="AG150" s="446"/>
      <c r="AH150" s="446"/>
      <c r="AI150" s="407">
        <v>608000000</v>
      </c>
      <c r="AJ150" s="446"/>
      <c r="AK150" s="446"/>
      <c r="AL150" s="407">
        <v>1618000000</v>
      </c>
      <c r="AM150" s="446"/>
      <c r="AN150" s="446"/>
      <c r="AO150" s="432"/>
      <c r="AP150" s="432"/>
      <c r="AQ150" s="432"/>
    </row>
    <row r="151" spans="23:43" ht="15">
      <c r="W151" s="446"/>
      <c r="X151" s="446"/>
      <c r="Y151" s="446"/>
      <c r="Z151" s="446"/>
      <c r="AA151" s="446"/>
      <c r="AB151" s="446"/>
      <c r="AC151" s="407">
        <v>307000000</v>
      </c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32"/>
      <c r="AP151" s="432"/>
      <c r="AQ151" s="432"/>
    </row>
    <row r="152" spans="23:40" ht="15"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</row>
    <row r="153" spans="23:40" ht="15"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</row>
    <row r="154" spans="22:43" ht="15">
      <c r="V154" s="402" t="s">
        <v>320</v>
      </c>
      <c r="W154" s="408">
        <f>SUM(W155:W158)</f>
        <v>0</v>
      </c>
      <c r="X154" s="408">
        <f aca="true" t="shared" si="9" ref="X154:AQ154">SUM(X155:X158)</f>
        <v>0</v>
      </c>
      <c r="Y154" s="408">
        <f t="shared" si="9"/>
        <v>0</v>
      </c>
      <c r="Z154" s="408">
        <f t="shared" si="9"/>
        <v>0</v>
      </c>
      <c r="AA154" s="408">
        <f t="shared" si="9"/>
        <v>0</v>
      </c>
      <c r="AB154" s="408">
        <f t="shared" si="9"/>
        <v>1064000000</v>
      </c>
      <c r="AC154" s="408">
        <f t="shared" si="9"/>
        <v>10780000000</v>
      </c>
      <c r="AD154" s="408">
        <f t="shared" si="9"/>
        <v>0</v>
      </c>
      <c r="AE154" s="408">
        <f t="shared" si="9"/>
        <v>0</v>
      </c>
      <c r="AF154" s="408">
        <f t="shared" si="9"/>
        <v>0</v>
      </c>
      <c r="AG154" s="408">
        <f t="shared" si="9"/>
        <v>0</v>
      </c>
      <c r="AH154" s="408">
        <f t="shared" si="9"/>
        <v>0</v>
      </c>
      <c r="AI154" s="408">
        <f t="shared" si="9"/>
        <v>0</v>
      </c>
      <c r="AJ154" s="408">
        <f t="shared" si="9"/>
        <v>0</v>
      </c>
      <c r="AK154" s="408">
        <f t="shared" si="9"/>
        <v>0</v>
      </c>
      <c r="AL154" s="408">
        <f t="shared" si="9"/>
        <v>0</v>
      </c>
      <c r="AM154" s="408">
        <f t="shared" si="9"/>
        <v>0</v>
      </c>
      <c r="AN154" s="408">
        <f t="shared" si="9"/>
        <v>0</v>
      </c>
      <c r="AO154" s="408">
        <f t="shared" si="9"/>
        <v>0</v>
      </c>
      <c r="AP154" s="408">
        <f t="shared" si="9"/>
        <v>0</v>
      </c>
      <c r="AQ154" s="408">
        <f t="shared" si="9"/>
        <v>0</v>
      </c>
    </row>
    <row r="155" spans="23:40" ht="15">
      <c r="W155" s="407"/>
      <c r="X155" s="407"/>
      <c r="Y155" s="407"/>
      <c r="Z155" s="407"/>
      <c r="AA155" s="407"/>
      <c r="AB155" s="407">
        <v>52000000</v>
      </c>
      <c r="AC155" s="407">
        <v>458000000</v>
      </c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</row>
    <row r="156" spans="23:40" ht="15">
      <c r="W156" s="407"/>
      <c r="X156" s="407"/>
      <c r="Y156" s="407"/>
      <c r="Z156" s="407"/>
      <c r="AA156" s="407"/>
      <c r="AB156" s="407">
        <v>1012000000</v>
      </c>
      <c r="AC156" s="407">
        <f>7077000000</f>
        <v>7077000000</v>
      </c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</row>
    <row r="157" spans="23:40" ht="15">
      <c r="W157" s="407"/>
      <c r="X157" s="407"/>
      <c r="Y157" s="407"/>
      <c r="Z157" s="407"/>
      <c r="AA157" s="407"/>
      <c r="AB157" s="407"/>
      <c r="AC157" s="407">
        <v>3245000000</v>
      </c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</row>
    <row r="158" spans="23:40" ht="15">
      <c r="W158" s="407"/>
      <c r="X158" s="407"/>
      <c r="Y158" s="407"/>
      <c r="Z158" s="407"/>
      <c r="AA158" s="407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</row>
    <row r="159" spans="23:40" ht="15"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</row>
  </sheetData>
  <sheetProtection/>
  <mergeCells count="10">
    <mergeCell ref="F137:H137"/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5905511811023623" right="0.3937007874015748" top="0.5905511811023623" bottom="0.31496062992125984" header="0.31496062992125984" footer="0.3937007874015748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54" customWidth="1"/>
    <col min="2" max="2" width="47.375" style="54" customWidth="1"/>
    <col min="3" max="3" width="10.75390625" style="54" customWidth="1"/>
    <col min="4" max="4" width="10.25390625" style="54" customWidth="1"/>
    <col min="5" max="5" width="12.75390625" style="54" customWidth="1"/>
    <col min="6" max="6" width="11.625" style="54" customWidth="1"/>
    <col min="7" max="7" width="11.50390625" style="54" customWidth="1"/>
    <col min="8" max="8" width="9.75390625" style="54" customWidth="1"/>
    <col min="9" max="9" width="13.875" style="54" bestFit="1" customWidth="1"/>
    <col min="10" max="10" width="14.125" style="54" customWidth="1"/>
    <col min="11" max="16384" width="9.00390625" style="54" customWidth="1"/>
  </cols>
  <sheetData>
    <row r="1" spans="1:8" ht="18.75" customHeight="1">
      <c r="A1" s="53" t="s">
        <v>56</v>
      </c>
      <c r="G1" s="517"/>
      <c r="H1" s="517"/>
    </row>
    <row r="2" spans="1:8" ht="41.25" customHeight="1">
      <c r="A2" s="518" t="s">
        <v>140</v>
      </c>
      <c r="B2" s="518"/>
      <c r="C2" s="518"/>
      <c r="D2" s="518"/>
      <c r="E2" s="518"/>
      <c r="F2" s="518"/>
      <c r="G2" s="518"/>
      <c r="H2" s="518"/>
    </row>
    <row r="3" spans="1:8" ht="20.25" customHeight="1">
      <c r="A3" s="492" t="s">
        <v>141</v>
      </c>
      <c r="B3" s="492"/>
      <c r="C3" s="492"/>
      <c r="D3" s="492"/>
      <c r="E3" s="492"/>
      <c r="F3" s="492"/>
      <c r="G3" s="492"/>
      <c r="H3" s="492"/>
    </row>
    <row r="4" spans="1:8" ht="19.5" customHeight="1">
      <c r="A4" s="519" t="s">
        <v>55</v>
      </c>
      <c r="B4" s="519"/>
      <c r="C4" s="519"/>
      <c r="D4" s="519"/>
      <c r="E4" s="519"/>
      <c r="F4" s="519"/>
      <c r="G4" s="519"/>
      <c r="H4" s="519"/>
    </row>
    <row r="5" spans="1:8" ht="17.25" customHeight="1">
      <c r="A5" s="520" t="s">
        <v>0</v>
      </c>
      <c r="B5" s="520" t="s">
        <v>6</v>
      </c>
      <c r="C5" s="521" t="s">
        <v>52</v>
      </c>
      <c r="D5" s="522"/>
      <c r="E5" s="522"/>
      <c r="F5" s="523"/>
      <c r="G5" s="482" t="s">
        <v>142</v>
      </c>
      <c r="H5" s="482" t="s">
        <v>42</v>
      </c>
    </row>
    <row r="6" spans="1:8" ht="29.25" customHeight="1">
      <c r="A6" s="520"/>
      <c r="B6" s="520"/>
      <c r="C6" s="515" t="s">
        <v>1</v>
      </c>
      <c r="D6" s="515" t="s">
        <v>49</v>
      </c>
      <c r="E6" s="515" t="s">
        <v>50</v>
      </c>
      <c r="F6" s="515" t="s">
        <v>2</v>
      </c>
      <c r="G6" s="483"/>
      <c r="H6" s="483"/>
    </row>
    <row r="7" spans="1:8" ht="37.5" customHeight="1">
      <c r="A7" s="520"/>
      <c r="B7" s="520"/>
      <c r="C7" s="516"/>
      <c r="D7" s="516"/>
      <c r="E7" s="516"/>
      <c r="F7" s="516"/>
      <c r="G7" s="484"/>
      <c r="H7" s="484"/>
    </row>
    <row r="8" spans="1:8" ht="15">
      <c r="A8" s="55" t="s">
        <v>7</v>
      </c>
      <c r="B8" s="55" t="s">
        <v>8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 t="s">
        <v>51</v>
      </c>
    </row>
    <row r="9" spans="1:8" ht="15">
      <c r="A9" s="56"/>
      <c r="B9" s="57" t="s">
        <v>9</v>
      </c>
      <c r="C9" s="58">
        <f>C10+C32</f>
        <v>465417122.512</v>
      </c>
      <c r="D9" s="58">
        <f>D10+D32</f>
        <v>16382547.828</v>
      </c>
      <c r="E9" s="58">
        <f>E10+E32</f>
        <v>337902000</v>
      </c>
      <c r="F9" s="58">
        <f>F10+F32</f>
        <v>111132574.684</v>
      </c>
      <c r="G9" s="58">
        <f>G10+G32</f>
        <v>213959561</v>
      </c>
      <c r="H9" s="59">
        <f>G9/C9*100</f>
        <v>45.97157058708844</v>
      </c>
    </row>
    <row r="10" spans="1:8" ht="15">
      <c r="A10" s="60" t="s">
        <v>7</v>
      </c>
      <c r="B10" s="61" t="s">
        <v>10</v>
      </c>
      <c r="C10" s="62">
        <f>C11+C17+C31</f>
        <v>330642964.503</v>
      </c>
      <c r="D10" s="62">
        <f>D11+D17+D31</f>
        <v>2837674.503</v>
      </c>
      <c r="E10" s="62">
        <f>E11+E17+E31</f>
        <v>325268000</v>
      </c>
      <c r="F10" s="62">
        <f>F11+F17+F31</f>
        <v>2537290</v>
      </c>
      <c r="G10" s="62">
        <f>G11+G17+G31</f>
        <v>182151065</v>
      </c>
      <c r="H10" s="59">
        <f>G10/C10*100</f>
        <v>55.08995640472709</v>
      </c>
    </row>
    <row r="11" spans="1:9" ht="15">
      <c r="A11" s="60" t="s">
        <v>3</v>
      </c>
      <c r="B11" s="61" t="s">
        <v>11</v>
      </c>
      <c r="C11" s="62">
        <f>SUM(C12:C16)</f>
        <v>16631075</v>
      </c>
      <c r="D11" s="62">
        <f>SUM(D12:D16)</f>
        <v>1859567</v>
      </c>
      <c r="E11" s="62">
        <f>SUM(E12:E16)</f>
        <v>14771508</v>
      </c>
      <c r="F11" s="62">
        <f>SUM(F12:F16)</f>
        <v>0</v>
      </c>
      <c r="G11" s="62">
        <f>SUM(G12:G16)</f>
        <v>11480850</v>
      </c>
      <c r="H11" s="59">
        <f>G11/C11*100</f>
        <v>69.03251894420535</v>
      </c>
      <c r="I11" s="63"/>
    </row>
    <row r="12" spans="1:9" ht="20.25" customHeight="1">
      <c r="A12" s="64">
        <v>1</v>
      </c>
      <c r="B12" s="65" t="s">
        <v>45</v>
      </c>
      <c r="C12" s="59">
        <f>SUM(D12:F12)</f>
        <v>7411000</v>
      </c>
      <c r="D12" s="59"/>
      <c r="E12" s="59">
        <v>7411000</v>
      </c>
      <c r="F12" s="59"/>
      <c r="G12" s="59">
        <v>5969000</v>
      </c>
      <c r="H12" s="59">
        <f>G12/C12*100</f>
        <v>80.54243691809472</v>
      </c>
      <c r="I12" s="63"/>
    </row>
    <row r="13" spans="1:9" ht="15">
      <c r="A13" s="64">
        <v>2</v>
      </c>
      <c r="B13" s="65" t="s">
        <v>46</v>
      </c>
      <c r="C13" s="59">
        <f aca="true" t="shared" si="0" ref="C13:C31">SUM(D13:F13)</f>
        <v>1000000</v>
      </c>
      <c r="D13" s="59"/>
      <c r="E13" s="59">
        <v>1000000</v>
      </c>
      <c r="F13" s="59"/>
      <c r="G13" s="59">
        <v>110000</v>
      </c>
      <c r="H13" s="59"/>
      <c r="I13" s="63"/>
    </row>
    <row r="14" spans="1:8" ht="15">
      <c r="A14" s="64">
        <v>3</v>
      </c>
      <c r="B14" s="65" t="s">
        <v>47</v>
      </c>
      <c r="C14" s="59">
        <f t="shared" si="0"/>
        <v>417922</v>
      </c>
      <c r="D14" s="59">
        <v>164922</v>
      </c>
      <c r="E14" s="59">
        <v>253000</v>
      </c>
      <c r="F14" s="59"/>
      <c r="G14" s="59">
        <v>0</v>
      </c>
      <c r="H14" s="59"/>
    </row>
    <row r="15" spans="1:9" ht="15">
      <c r="A15" s="64">
        <v>4</v>
      </c>
      <c r="B15" s="65" t="s">
        <v>57</v>
      </c>
      <c r="C15" s="59">
        <f t="shared" si="0"/>
        <v>6610153</v>
      </c>
      <c r="D15" s="66">
        <v>502645</v>
      </c>
      <c r="E15" s="59">
        <v>6107508</v>
      </c>
      <c r="F15" s="59"/>
      <c r="G15" s="59">
        <f>3510000+984818-284968</f>
        <v>4209850</v>
      </c>
      <c r="H15" s="59">
        <f>G15/C15*100</f>
        <v>63.687633251454244</v>
      </c>
      <c r="I15" s="67"/>
    </row>
    <row r="16" spans="1:8" ht="15">
      <c r="A16" s="64">
        <v>5</v>
      </c>
      <c r="B16" s="65" t="s">
        <v>85</v>
      </c>
      <c r="C16" s="59">
        <f t="shared" si="0"/>
        <v>1192000</v>
      </c>
      <c r="D16" s="59">
        <v>1192000</v>
      </c>
      <c r="E16" s="59"/>
      <c r="F16" s="59"/>
      <c r="G16" s="59">
        <f>D16</f>
        <v>1192000</v>
      </c>
      <c r="H16" s="59">
        <f>G16/C16*100</f>
        <v>100</v>
      </c>
    </row>
    <row r="17" spans="1:8" ht="15">
      <c r="A17" s="60" t="s">
        <v>5</v>
      </c>
      <c r="B17" s="61" t="s">
        <v>4</v>
      </c>
      <c r="C17" s="62">
        <f>SUM(C18:C30)</f>
        <v>307312039.503</v>
      </c>
      <c r="D17" s="62">
        <f>SUM(D18:D30)</f>
        <v>911497.503</v>
      </c>
      <c r="E17" s="62">
        <f>SUM(E18:E30)</f>
        <v>303863252</v>
      </c>
      <c r="F17" s="62">
        <f>SUM(F18:F30)</f>
        <v>2537290</v>
      </c>
      <c r="G17" s="62">
        <f>SUM(G18:G30)</f>
        <v>169618694</v>
      </c>
      <c r="H17" s="68">
        <f>G17/C17*100</f>
        <v>55.19428860461035</v>
      </c>
    </row>
    <row r="18" spans="1:8" ht="15">
      <c r="A18" s="64">
        <v>1</v>
      </c>
      <c r="B18" s="69" t="s">
        <v>12</v>
      </c>
      <c r="C18" s="59">
        <f t="shared" si="0"/>
        <v>16052990</v>
      </c>
      <c r="D18" s="70">
        <f>310000+170000</f>
        <v>480000</v>
      </c>
      <c r="E18" s="70">
        <v>13196000</v>
      </c>
      <c r="F18" s="71">
        <f>525000+1685040+166950</f>
        <v>2376990</v>
      </c>
      <c r="G18" s="70">
        <f>2318885+696274-77711-G84-G91-G41-G47</f>
        <v>1255913</v>
      </c>
      <c r="H18" s="59">
        <f>G18/C18*100</f>
        <v>7.8235456447677345</v>
      </c>
    </row>
    <row r="19" spans="1:8" ht="15">
      <c r="A19" s="64">
        <v>2</v>
      </c>
      <c r="B19" s="69" t="s">
        <v>13</v>
      </c>
      <c r="C19" s="59">
        <f t="shared" si="0"/>
        <v>171222614.219</v>
      </c>
      <c r="D19" s="70">
        <v>230614.219</v>
      </c>
      <c r="E19" s="70">
        <v>170992000</v>
      </c>
      <c r="F19" s="70"/>
      <c r="G19" s="70">
        <f>104494288-G65-G68-G69-G77-330905-3930962</f>
        <v>98086463</v>
      </c>
      <c r="H19" s="59">
        <f aca="true" t="shared" si="1" ref="H19:H34">G19/C19*100</f>
        <v>57.28592770727342</v>
      </c>
    </row>
    <row r="20" spans="1:8" ht="15">
      <c r="A20" s="64">
        <v>3</v>
      </c>
      <c r="B20" s="69" t="s">
        <v>14</v>
      </c>
      <c r="C20" s="59">
        <f t="shared" si="0"/>
        <v>0</v>
      </c>
      <c r="D20" s="70"/>
      <c r="E20" s="70"/>
      <c r="F20" s="70"/>
      <c r="G20" s="70"/>
      <c r="H20" s="59"/>
    </row>
    <row r="21" spans="1:8" ht="15">
      <c r="A21" s="64">
        <v>4</v>
      </c>
      <c r="B21" s="69" t="s">
        <v>15</v>
      </c>
      <c r="C21" s="59">
        <f t="shared" si="0"/>
        <v>0</v>
      </c>
      <c r="D21" s="70"/>
      <c r="E21" s="70"/>
      <c r="F21" s="70"/>
      <c r="G21" s="70"/>
      <c r="H21" s="59"/>
    </row>
    <row r="22" spans="1:8" ht="15">
      <c r="A22" s="64">
        <v>5</v>
      </c>
      <c r="B22" s="69" t="s">
        <v>16</v>
      </c>
      <c r="C22" s="59">
        <f t="shared" si="0"/>
        <v>400000</v>
      </c>
      <c r="D22" s="70"/>
      <c r="E22" s="70">
        <v>400000</v>
      </c>
      <c r="F22" s="70"/>
      <c r="G22" s="70"/>
      <c r="H22" s="59">
        <f t="shared" si="1"/>
        <v>0</v>
      </c>
    </row>
    <row r="23" spans="1:8" ht="15">
      <c r="A23" s="64">
        <v>6</v>
      </c>
      <c r="B23" s="69" t="s">
        <v>17</v>
      </c>
      <c r="C23" s="59">
        <f t="shared" si="0"/>
        <v>1098156</v>
      </c>
      <c r="D23" s="70"/>
      <c r="E23" s="70">
        <v>1098156</v>
      </c>
      <c r="F23" s="70"/>
      <c r="G23" s="70">
        <f>533651+148297</f>
        <v>681948</v>
      </c>
      <c r="H23" s="59">
        <f t="shared" si="1"/>
        <v>62.09937385945167</v>
      </c>
    </row>
    <row r="24" spans="1:8" ht="15">
      <c r="A24" s="64">
        <v>7</v>
      </c>
      <c r="B24" s="69" t="s">
        <v>18</v>
      </c>
      <c r="C24" s="59">
        <f t="shared" si="0"/>
        <v>237371</v>
      </c>
      <c r="D24" s="70"/>
      <c r="E24" s="70">
        <v>237371</v>
      </c>
      <c r="F24" s="70"/>
      <c r="G24" s="70">
        <f>172905+7000</f>
        <v>179905</v>
      </c>
      <c r="H24" s="59">
        <f t="shared" si="1"/>
        <v>75.79063996865666</v>
      </c>
    </row>
    <row r="25" spans="1:8" ht="15">
      <c r="A25" s="64">
        <v>8</v>
      </c>
      <c r="B25" s="69" t="s">
        <v>19</v>
      </c>
      <c r="C25" s="59">
        <f t="shared" si="0"/>
        <v>1483342</v>
      </c>
      <c r="D25" s="70"/>
      <c r="E25" s="70">
        <v>1483342</v>
      </c>
      <c r="F25" s="70"/>
      <c r="G25" s="70">
        <f>701014+62015</f>
        <v>763029</v>
      </c>
      <c r="H25" s="59">
        <f t="shared" si="1"/>
        <v>51.43985675589311</v>
      </c>
    </row>
    <row r="26" spans="1:8" ht="15">
      <c r="A26" s="64">
        <v>9</v>
      </c>
      <c r="B26" s="69" t="s">
        <v>20</v>
      </c>
      <c r="C26" s="59">
        <f t="shared" si="0"/>
        <v>8716300</v>
      </c>
      <c r="D26" s="70"/>
      <c r="E26" s="70">
        <v>8556000</v>
      </c>
      <c r="F26" s="70">
        <f>68800+91500</f>
        <v>160300</v>
      </c>
      <c r="G26" s="70">
        <f>6651946+832557+1191223-G63-G70-G80</f>
        <v>7176029</v>
      </c>
      <c r="H26" s="59">
        <f t="shared" si="1"/>
        <v>82.3288436607276</v>
      </c>
    </row>
    <row r="27" spans="1:8" ht="15">
      <c r="A27" s="64">
        <v>10</v>
      </c>
      <c r="B27" s="69" t="s">
        <v>21</v>
      </c>
      <c r="C27" s="59">
        <f t="shared" si="0"/>
        <v>89353745.284</v>
      </c>
      <c r="D27" s="72">
        <f>23200.797+20000+27682.487</f>
        <v>70883.284</v>
      </c>
      <c r="E27" s="70">
        <v>89282862</v>
      </c>
      <c r="F27" s="70"/>
      <c r="G27" s="70">
        <f>18949704+36779857+142920+18975-792132-4857428-G55-G64-G75-G76-G78-G82-766553+2058674</f>
        <v>51228771</v>
      </c>
      <c r="H27" s="59">
        <f t="shared" si="1"/>
        <v>57.332539153423944</v>
      </c>
    </row>
    <row r="28" spans="1:8" ht="15">
      <c r="A28" s="64">
        <v>11</v>
      </c>
      <c r="B28" s="73" t="s">
        <v>22</v>
      </c>
      <c r="C28" s="59">
        <f t="shared" si="0"/>
        <v>3346521</v>
      </c>
      <c r="D28" s="70">
        <v>130000</v>
      </c>
      <c r="E28" s="70">
        <v>3216521</v>
      </c>
      <c r="F28" s="70"/>
      <c r="G28" s="70">
        <f>1005076+2667455-G74</f>
        <v>3602531</v>
      </c>
      <c r="H28" s="59">
        <f t="shared" si="1"/>
        <v>107.65003416981396</v>
      </c>
    </row>
    <row r="29" spans="1:8" ht="15">
      <c r="A29" s="64">
        <v>12</v>
      </c>
      <c r="B29" s="74" t="s">
        <v>23</v>
      </c>
      <c r="C29" s="59">
        <f t="shared" si="0"/>
        <v>6654000</v>
      </c>
      <c r="D29" s="70"/>
      <c r="E29" s="70">
        <v>6654000</v>
      </c>
      <c r="F29" s="70"/>
      <c r="G29" s="70">
        <f>2074770+4569335</f>
        <v>6644105</v>
      </c>
      <c r="H29" s="59">
        <f t="shared" si="1"/>
        <v>99.85129245566576</v>
      </c>
    </row>
    <row r="30" spans="1:8" ht="15">
      <c r="A30" s="64">
        <v>13</v>
      </c>
      <c r="B30" s="74" t="s">
        <v>91</v>
      </c>
      <c r="C30" s="59">
        <f t="shared" si="0"/>
        <v>8747000</v>
      </c>
      <c r="D30" s="70"/>
      <c r="E30" s="70">
        <v>8747000</v>
      </c>
      <c r="F30" s="70"/>
      <c r="G30" s="70"/>
      <c r="H30" s="59">
        <f t="shared" si="1"/>
        <v>0</v>
      </c>
    </row>
    <row r="31" spans="1:8" ht="24.75" customHeight="1">
      <c r="A31" s="60" t="s">
        <v>24</v>
      </c>
      <c r="B31" s="61" t="s">
        <v>25</v>
      </c>
      <c r="C31" s="62">
        <f t="shared" si="0"/>
        <v>6699850</v>
      </c>
      <c r="D31" s="75">
        <f>36000+30610</f>
        <v>66610</v>
      </c>
      <c r="E31" s="75">
        <f>7020000-386760</f>
        <v>6633240</v>
      </c>
      <c r="F31" s="75"/>
      <c r="G31" s="75">
        <f>284968+766553</f>
        <v>1051521</v>
      </c>
      <c r="H31" s="68">
        <f t="shared" si="1"/>
        <v>15.694694657343074</v>
      </c>
    </row>
    <row r="32" spans="1:8" ht="47.25" customHeight="1">
      <c r="A32" s="60" t="s">
        <v>8</v>
      </c>
      <c r="B32" s="61" t="s">
        <v>48</v>
      </c>
      <c r="C32" s="75">
        <f>C33+C58</f>
        <v>134774158.009</v>
      </c>
      <c r="D32" s="75">
        <f>D33+D58</f>
        <v>13544873.325</v>
      </c>
      <c r="E32" s="75">
        <f>E33+E58</f>
        <v>12634000</v>
      </c>
      <c r="F32" s="75">
        <f>F33+F58</f>
        <v>108595284.684</v>
      </c>
      <c r="G32" s="75">
        <f>G33+G58</f>
        <v>31808496</v>
      </c>
      <c r="H32" s="68">
        <f t="shared" si="1"/>
        <v>23.60133164243243</v>
      </c>
    </row>
    <row r="33" spans="1:8" ht="21.75" customHeight="1">
      <c r="A33" s="60">
        <v>1</v>
      </c>
      <c r="B33" s="61" t="s">
        <v>26</v>
      </c>
      <c r="C33" s="75">
        <f>C34+C51</f>
        <v>87667793.205</v>
      </c>
      <c r="D33" s="75">
        <f>D34+D51</f>
        <v>12718793.205</v>
      </c>
      <c r="E33" s="75">
        <f>E34+E51</f>
        <v>0</v>
      </c>
      <c r="F33" s="75">
        <f>F34+F51</f>
        <v>74949000</v>
      </c>
      <c r="G33" s="75">
        <f>G34+G51</f>
        <v>16705596</v>
      </c>
      <c r="H33" s="68">
        <f t="shared" si="1"/>
        <v>19.055568058997547</v>
      </c>
    </row>
    <row r="34" spans="1:8" ht="21" customHeight="1">
      <c r="A34" s="64" t="s">
        <v>27</v>
      </c>
      <c r="B34" s="65" t="s">
        <v>53</v>
      </c>
      <c r="C34" s="72">
        <f>C35+C38</f>
        <v>57114032</v>
      </c>
      <c r="D34" s="72">
        <f>D35+D38</f>
        <v>9106032</v>
      </c>
      <c r="E34" s="72">
        <f>E35+E38</f>
        <v>0</v>
      </c>
      <c r="F34" s="72">
        <f>F35+F38</f>
        <v>48008000</v>
      </c>
      <c r="G34" s="72">
        <f>G35+G38</f>
        <v>14721422</v>
      </c>
      <c r="H34" s="59">
        <f t="shared" si="1"/>
        <v>25.77549068852292</v>
      </c>
    </row>
    <row r="35" spans="1:8" ht="22.5" customHeight="1">
      <c r="A35" s="64" t="s">
        <v>43</v>
      </c>
      <c r="B35" s="65" t="s">
        <v>28</v>
      </c>
      <c r="C35" s="72">
        <f>SUM(C36:C37)</f>
        <v>44057032</v>
      </c>
      <c r="D35" s="72">
        <f>SUM(D36:D37)</f>
        <v>9106032</v>
      </c>
      <c r="E35" s="72">
        <f>SUM(E36:E37)</f>
        <v>0</v>
      </c>
      <c r="F35" s="72">
        <f>SUM(F36:F37)</f>
        <v>34951000</v>
      </c>
      <c r="G35" s="72">
        <f>SUM(G36:G37)</f>
        <v>14047748</v>
      </c>
      <c r="H35" s="59">
        <f>G35/C35*100</f>
        <v>31.88537076215211</v>
      </c>
    </row>
    <row r="36" spans="1:8" ht="22.5" customHeight="1">
      <c r="A36" s="64" t="s">
        <v>71</v>
      </c>
      <c r="B36" s="65" t="s">
        <v>69</v>
      </c>
      <c r="C36" s="59">
        <f>SUM(D36:F36)</f>
        <v>21313592</v>
      </c>
      <c r="D36" s="72">
        <v>6083592</v>
      </c>
      <c r="E36" s="72"/>
      <c r="F36" s="72">
        <v>15230000</v>
      </c>
      <c r="G36" s="72">
        <f>28000+4325854</f>
        <v>4353854</v>
      </c>
      <c r="H36" s="59">
        <f>G36/C36*100</f>
        <v>20.427593809621577</v>
      </c>
    </row>
    <row r="37" spans="1:8" ht="22.5" customHeight="1">
      <c r="A37" s="64" t="s">
        <v>71</v>
      </c>
      <c r="B37" s="65" t="s">
        <v>70</v>
      </c>
      <c r="C37" s="59">
        <f>SUM(D37:F37)</f>
        <v>22743440</v>
      </c>
      <c r="D37" s="72">
        <v>3022440</v>
      </c>
      <c r="E37" s="72"/>
      <c r="F37" s="76">
        <v>19721000</v>
      </c>
      <c r="G37" s="72">
        <f>7315820+408000+1970074</f>
        <v>9693894</v>
      </c>
      <c r="H37" s="59">
        <f>G37/C37*100</f>
        <v>42.62281343543457</v>
      </c>
    </row>
    <row r="38" spans="1:8" ht="28.5" customHeight="1">
      <c r="A38" s="64" t="s">
        <v>43</v>
      </c>
      <c r="B38" s="65" t="s">
        <v>44</v>
      </c>
      <c r="C38" s="72">
        <f>C39+C44+C45+C46</f>
        <v>13057000</v>
      </c>
      <c r="D38" s="72">
        <f>D39+D44+D45+D46</f>
        <v>0</v>
      </c>
      <c r="E38" s="72">
        <f>E39+E44+E45+E46</f>
        <v>0</v>
      </c>
      <c r="F38" s="72">
        <f>F39+F44+F45+F46</f>
        <v>13057000</v>
      </c>
      <c r="G38" s="72">
        <f>G39+G44+G45+G46</f>
        <v>673674</v>
      </c>
      <c r="H38" s="59">
        <f aca="true" t="shared" si="2" ref="H38:H91">G38/C38*100</f>
        <v>5.159485333537566</v>
      </c>
    </row>
    <row r="39" spans="1:8" ht="23.25" customHeight="1">
      <c r="A39" s="64" t="s">
        <v>32</v>
      </c>
      <c r="B39" s="77" t="s">
        <v>72</v>
      </c>
      <c r="C39" s="72">
        <f>C40+C43</f>
        <v>8890000</v>
      </c>
      <c r="D39" s="72">
        <f>D40+D43</f>
        <v>0</v>
      </c>
      <c r="E39" s="72">
        <f>E40+E43</f>
        <v>0</v>
      </c>
      <c r="F39" s="72">
        <f>F40+F43</f>
        <v>8890000</v>
      </c>
      <c r="G39" s="72">
        <f>G40+G43</f>
        <v>489720</v>
      </c>
      <c r="H39" s="59">
        <f t="shared" si="2"/>
        <v>5.508661417322835</v>
      </c>
    </row>
    <row r="40" spans="1:8" ht="38.25" customHeight="1">
      <c r="A40" s="64" t="s">
        <v>71</v>
      </c>
      <c r="B40" s="78" t="s">
        <v>73</v>
      </c>
      <c r="C40" s="72">
        <f>SUM(C41:C42)</f>
        <v>8392000</v>
      </c>
      <c r="D40" s="72"/>
      <c r="E40" s="72"/>
      <c r="F40" s="72">
        <f>SUM(F41:F42)</f>
        <v>8392000</v>
      </c>
      <c r="G40" s="72">
        <f>SUM(G41:G42)</f>
        <v>489720</v>
      </c>
      <c r="H40" s="59">
        <f t="shared" si="2"/>
        <v>5.835557673975215</v>
      </c>
    </row>
    <row r="41" spans="1:8" ht="22.5" customHeight="1">
      <c r="A41" s="64"/>
      <c r="B41" s="79" t="s">
        <v>74</v>
      </c>
      <c r="C41" s="59">
        <f>SUM(D41:F41)</f>
        <v>6734000</v>
      </c>
      <c r="D41" s="80"/>
      <c r="E41" s="80"/>
      <c r="F41" s="80">
        <v>6734000</v>
      </c>
      <c r="G41" s="80">
        <v>489720</v>
      </c>
      <c r="H41" s="59">
        <f t="shared" si="2"/>
        <v>7.272349272349272</v>
      </c>
    </row>
    <row r="42" spans="1:8" ht="22.5" customHeight="1">
      <c r="A42" s="64"/>
      <c r="B42" s="79" t="s">
        <v>75</v>
      </c>
      <c r="C42" s="59">
        <f>SUM(D42:F42)</f>
        <v>1658000</v>
      </c>
      <c r="D42" s="80"/>
      <c r="E42" s="80"/>
      <c r="F42" s="80">
        <v>1658000</v>
      </c>
      <c r="G42" s="80"/>
      <c r="H42" s="59">
        <f t="shared" si="2"/>
        <v>0</v>
      </c>
    </row>
    <row r="43" spans="1:8" ht="32.25" customHeight="1">
      <c r="A43" s="64" t="s">
        <v>71</v>
      </c>
      <c r="B43" s="81" t="s">
        <v>86</v>
      </c>
      <c r="C43" s="59">
        <f>SUM(D43:F43)</f>
        <v>498000</v>
      </c>
      <c r="D43" s="72"/>
      <c r="E43" s="72"/>
      <c r="F43" s="72">
        <v>498000</v>
      </c>
      <c r="G43" s="72"/>
      <c r="H43" s="59">
        <f t="shared" si="2"/>
        <v>0</v>
      </c>
    </row>
    <row r="44" spans="1:8" ht="27.75" customHeight="1">
      <c r="A44" s="64" t="s">
        <v>32</v>
      </c>
      <c r="B44" s="82" t="s">
        <v>76</v>
      </c>
      <c r="C44" s="59">
        <f>SUM(D44:F44)</f>
        <v>23000</v>
      </c>
      <c r="D44" s="72"/>
      <c r="E44" s="72"/>
      <c r="F44" s="72">
        <v>23000</v>
      </c>
      <c r="G44" s="72"/>
      <c r="H44" s="59">
        <f t="shared" si="2"/>
        <v>0</v>
      </c>
    </row>
    <row r="45" spans="1:8" ht="22.5" customHeight="1">
      <c r="A45" s="64" t="s">
        <v>32</v>
      </c>
      <c r="B45" s="81" t="s">
        <v>77</v>
      </c>
      <c r="C45" s="72">
        <f>SUM(D45:F45)</f>
        <v>60000</v>
      </c>
      <c r="D45" s="72"/>
      <c r="E45" s="72"/>
      <c r="F45" s="72">
        <v>60000</v>
      </c>
      <c r="G45" s="72"/>
      <c r="H45" s="59">
        <f t="shared" si="2"/>
        <v>0</v>
      </c>
    </row>
    <row r="46" spans="1:8" ht="23.25" customHeight="1">
      <c r="A46" s="64" t="s">
        <v>32</v>
      </c>
      <c r="B46" s="82" t="s">
        <v>78</v>
      </c>
      <c r="C46" s="72">
        <f>C47+C48</f>
        <v>4084000</v>
      </c>
      <c r="D46" s="72">
        <f>D47+D48</f>
        <v>0</v>
      </c>
      <c r="E46" s="72">
        <f>E47+E48</f>
        <v>0</v>
      </c>
      <c r="F46" s="72">
        <f>F47+F48</f>
        <v>4084000</v>
      </c>
      <c r="G46" s="72">
        <f>G47+G48</f>
        <v>183954</v>
      </c>
      <c r="H46" s="59">
        <f t="shared" si="2"/>
        <v>4.504260528893242</v>
      </c>
    </row>
    <row r="47" spans="1:8" ht="25.5" customHeight="1">
      <c r="A47" s="64" t="s">
        <v>71</v>
      </c>
      <c r="B47" s="82" t="s">
        <v>79</v>
      </c>
      <c r="C47" s="72">
        <f>SUM(D47:F47)</f>
        <v>936000</v>
      </c>
      <c r="D47" s="72"/>
      <c r="E47" s="72"/>
      <c r="F47" s="72">
        <v>936000</v>
      </c>
      <c r="G47" s="72">
        <v>183954</v>
      </c>
      <c r="H47" s="59">
        <f t="shared" si="2"/>
        <v>19.65320512820513</v>
      </c>
    </row>
    <row r="48" spans="1:8" ht="44.25" customHeight="1">
      <c r="A48" s="64" t="s">
        <v>71</v>
      </c>
      <c r="B48" s="81" t="s">
        <v>87</v>
      </c>
      <c r="C48" s="72">
        <f>SUM(C49:C50)</f>
        <v>3148000</v>
      </c>
      <c r="D48" s="72">
        <f>SUM(D49:D50)</f>
        <v>0</v>
      </c>
      <c r="E48" s="72">
        <f>SUM(E49:E50)</f>
        <v>0</v>
      </c>
      <c r="F48" s="72">
        <f>SUM(F49:F50)</f>
        <v>3148000</v>
      </c>
      <c r="G48" s="72"/>
      <c r="H48" s="59">
        <f t="shared" si="2"/>
        <v>0</v>
      </c>
    </row>
    <row r="49" spans="1:8" ht="32.25" customHeight="1">
      <c r="A49" s="83"/>
      <c r="B49" s="84" t="s">
        <v>74</v>
      </c>
      <c r="C49" s="72">
        <f>SUM(D49:F49)</f>
        <v>2516000</v>
      </c>
      <c r="D49" s="80"/>
      <c r="E49" s="80"/>
      <c r="F49" s="80">
        <v>2516000</v>
      </c>
      <c r="G49" s="80"/>
      <c r="H49" s="59">
        <f t="shared" si="2"/>
        <v>0</v>
      </c>
    </row>
    <row r="50" spans="1:8" ht="32.25" customHeight="1">
      <c r="A50" s="83"/>
      <c r="B50" s="84" t="s">
        <v>75</v>
      </c>
      <c r="C50" s="72">
        <f>SUM(D50:F50)</f>
        <v>632000</v>
      </c>
      <c r="D50" s="80"/>
      <c r="E50" s="80"/>
      <c r="F50" s="80">
        <v>632000</v>
      </c>
      <c r="G50" s="80"/>
      <c r="H50" s="59">
        <f t="shared" si="2"/>
        <v>0</v>
      </c>
    </row>
    <row r="51" spans="1:8" ht="27.75" customHeight="1">
      <c r="A51" s="64" t="s">
        <v>30</v>
      </c>
      <c r="B51" s="65" t="s">
        <v>54</v>
      </c>
      <c r="C51" s="72">
        <f>C52+C53</f>
        <v>30553761.205</v>
      </c>
      <c r="D51" s="72">
        <f>D52+D53</f>
        <v>3612761.205</v>
      </c>
      <c r="E51" s="72">
        <f>E52+E53</f>
        <v>0</v>
      </c>
      <c r="F51" s="72">
        <f>F52+F53</f>
        <v>26941000</v>
      </c>
      <c r="G51" s="72">
        <f>G52+G53</f>
        <v>1984174</v>
      </c>
      <c r="H51" s="59">
        <f t="shared" si="2"/>
        <v>6.494041721041199</v>
      </c>
    </row>
    <row r="52" spans="1:8" ht="26.25" customHeight="1">
      <c r="A52" s="64" t="s">
        <v>43</v>
      </c>
      <c r="B52" s="65" t="s">
        <v>28</v>
      </c>
      <c r="C52" s="59">
        <f>SUM(D52:F52)</f>
        <v>26842761.205</v>
      </c>
      <c r="D52" s="85">
        <v>3542761.205</v>
      </c>
      <c r="E52" s="72"/>
      <c r="F52" s="72">
        <f>23300000</f>
        <v>23300000</v>
      </c>
      <c r="G52" s="72">
        <v>1949174</v>
      </c>
      <c r="H52" s="59">
        <f t="shared" si="2"/>
        <v>7.261451179012565</v>
      </c>
    </row>
    <row r="53" spans="1:8" ht="26.25" customHeight="1">
      <c r="A53" s="64" t="s">
        <v>43</v>
      </c>
      <c r="B53" s="65" t="s">
        <v>44</v>
      </c>
      <c r="C53" s="72">
        <f>SUM(C54:C57)</f>
        <v>3711000</v>
      </c>
      <c r="D53" s="72">
        <f>SUM(D54:D57)</f>
        <v>70000</v>
      </c>
      <c r="E53" s="72">
        <f>SUM(E54:E57)</f>
        <v>0</v>
      </c>
      <c r="F53" s="72">
        <f>SUM(F54:F57)</f>
        <v>3641000</v>
      </c>
      <c r="G53" s="72">
        <f>SUM(G54:G57)</f>
        <v>35000</v>
      </c>
      <c r="H53" s="59">
        <f t="shared" si="2"/>
        <v>0.9431420102398275</v>
      </c>
    </row>
    <row r="54" spans="1:8" ht="23.25" customHeight="1">
      <c r="A54" s="64" t="s">
        <v>71</v>
      </c>
      <c r="B54" s="82" t="s">
        <v>80</v>
      </c>
      <c r="C54" s="72">
        <f>SUM(D54:F54)</f>
        <v>3338000</v>
      </c>
      <c r="D54" s="72"/>
      <c r="E54" s="72"/>
      <c r="F54" s="72">
        <v>3338000</v>
      </c>
      <c r="G54" s="72"/>
      <c r="H54" s="59">
        <f t="shared" si="2"/>
        <v>0</v>
      </c>
    </row>
    <row r="55" spans="1:8" ht="24.75" customHeight="1">
      <c r="A55" s="64" t="s">
        <v>71</v>
      </c>
      <c r="B55" s="82" t="s">
        <v>81</v>
      </c>
      <c r="C55" s="72">
        <f>SUM(D55:F55)</f>
        <v>265000</v>
      </c>
      <c r="D55" s="72">
        <v>70000</v>
      </c>
      <c r="E55" s="72"/>
      <c r="F55" s="72">
        <v>195000</v>
      </c>
      <c r="G55" s="72">
        <v>35000</v>
      </c>
      <c r="H55" s="59">
        <f t="shared" si="2"/>
        <v>13.20754716981132</v>
      </c>
    </row>
    <row r="56" spans="1:8" ht="25.5" customHeight="1">
      <c r="A56" s="64" t="s">
        <v>71</v>
      </c>
      <c r="B56" s="65" t="s">
        <v>82</v>
      </c>
      <c r="C56" s="72">
        <f>SUM(D56:F56)</f>
        <v>8000</v>
      </c>
      <c r="D56" s="72"/>
      <c r="E56" s="72"/>
      <c r="F56" s="72">
        <v>8000</v>
      </c>
      <c r="G56" s="72"/>
      <c r="H56" s="59">
        <f t="shared" si="2"/>
        <v>0</v>
      </c>
    </row>
    <row r="57" spans="1:8" ht="24.75" customHeight="1">
      <c r="A57" s="64" t="s">
        <v>71</v>
      </c>
      <c r="B57" s="65" t="s">
        <v>83</v>
      </c>
      <c r="C57" s="72">
        <f>SUM(D57:F57)</f>
        <v>100000</v>
      </c>
      <c r="D57" s="72"/>
      <c r="E57" s="72"/>
      <c r="F57" s="72">
        <v>100000</v>
      </c>
      <c r="G57" s="72"/>
      <c r="H57" s="59">
        <f t="shared" si="2"/>
        <v>0</v>
      </c>
    </row>
    <row r="58" spans="1:8" ht="29.25" customHeight="1">
      <c r="A58" s="60">
        <v>2</v>
      </c>
      <c r="B58" s="61" t="s">
        <v>31</v>
      </c>
      <c r="C58" s="75">
        <f>C59+C62</f>
        <v>47106364.804000005</v>
      </c>
      <c r="D58" s="75">
        <f>D59+D62</f>
        <v>826080.12</v>
      </c>
      <c r="E58" s="75">
        <f>E59+E62</f>
        <v>12634000</v>
      </c>
      <c r="F58" s="75">
        <f>F59+F62</f>
        <v>33646284.684</v>
      </c>
      <c r="G58" s="75">
        <f>G59+G62</f>
        <v>15102900</v>
      </c>
      <c r="H58" s="68">
        <f t="shared" si="2"/>
        <v>32.061272532576204</v>
      </c>
    </row>
    <row r="59" spans="1:8" ht="21" customHeight="1">
      <c r="A59" s="86" t="s">
        <v>89</v>
      </c>
      <c r="B59" s="65" t="s">
        <v>28</v>
      </c>
      <c r="C59" s="72">
        <f>SUM(C60:C61)</f>
        <v>815676</v>
      </c>
      <c r="D59" s="72">
        <f>SUM(D60:D61)</f>
        <v>815676</v>
      </c>
      <c r="E59" s="72">
        <f>SUM(E60:E61)</f>
        <v>0</v>
      </c>
      <c r="F59" s="72">
        <f>SUM(F60:F61)</f>
        <v>0</v>
      </c>
      <c r="G59" s="72">
        <f>SUM(G60:G61)</f>
        <v>120000</v>
      </c>
      <c r="H59" s="59">
        <f>G59/C59*100</f>
        <v>14.711723772674446</v>
      </c>
    </row>
    <row r="60" spans="1:8" ht="21" customHeight="1">
      <c r="A60" s="86" t="s">
        <v>32</v>
      </c>
      <c r="B60" s="65" t="s">
        <v>88</v>
      </c>
      <c r="C60" s="59">
        <f aca="true" t="shared" si="3" ref="C60:C81">SUM(D60:F60)</f>
        <v>760000</v>
      </c>
      <c r="D60" s="72">
        <v>760000</v>
      </c>
      <c r="E60" s="72"/>
      <c r="F60" s="72"/>
      <c r="G60" s="87">
        <v>120000</v>
      </c>
      <c r="H60" s="59">
        <f>G60/C60*100</f>
        <v>15.789473684210526</v>
      </c>
    </row>
    <row r="61" spans="1:8" ht="21" customHeight="1">
      <c r="A61" s="86" t="s">
        <v>32</v>
      </c>
      <c r="B61" s="88" t="s">
        <v>84</v>
      </c>
      <c r="C61" s="59">
        <f>SUM(D61:F61)</f>
        <v>55676</v>
      </c>
      <c r="D61" s="89">
        <v>55676</v>
      </c>
      <c r="E61" s="72"/>
      <c r="F61" s="72"/>
      <c r="G61" s="87" t="s">
        <v>32</v>
      </c>
      <c r="H61" s="59"/>
    </row>
    <row r="62" spans="1:8" ht="21" customHeight="1">
      <c r="A62" s="86" t="s">
        <v>90</v>
      </c>
      <c r="B62" s="65" t="s">
        <v>29</v>
      </c>
      <c r="C62" s="72">
        <f>SUM(C63:C91)</f>
        <v>46290688.804000005</v>
      </c>
      <c r="D62" s="72">
        <f>SUM(D63:D91)</f>
        <v>10404.12</v>
      </c>
      <c r="E62" s="72">
        <f>SUM(E63:E91)</f>
        <v>12634000</v>
      </c>
      <c r="F62" s="72">
        <f>SUM(F63:F91)</f>
        <v>33646284.684</v>
      </c>
      <c r="G62" s="72">
        <f>SUM(G63:G91)</f>
        <v>14982900</v>
      </c>
      <c r="H62" s="59">
        <f>G62/C62*100</f>
        <v>32.36698434849239</v>
      </c>
    </row>
    <row r="63" spans="1:8" ht="32.25" customHeight="1">
      <c r="A63" s="86" t="s">
        <v>32</v>
      </c>
      <c r="B63" s="90" t="s">
        <v>33</v>
      </c>
      <c r="C63" s="59">
        <f t="shared" si="3"/>
        <v>2235000</v>
      </c>
      <c r="D63" s="72"/>
      <c r="E63" s="72">
        <v>2235000</v>
      </c>
      <c r="F63" s="87">
        <v>0</v>
      </c>
      <c r="G63" s="87">
        <v>917672</v>
      </c>
      <c r="H63" s="59">
        <f t="shared" si="2"/>
        <v>41.059149888143175</v>
      </c>
    </row>
    <row r="64" spans="1:8" ht="31.5" customHeight="1">
      <c r="A64" s="86" t="s">
        <v>32</v>
      </c>
      <c r="B64" s="90" t="s">
        <v>34</v>
      </c>
      <c r="C64" s="59">
        <f t="shared" si="3"/>
        <v>145000</v>
      </c>
      <c r="D64" s="72"/>
      <c r="E64" s="72">
        <v>145000</v>
      </c>
      <c r="F64" s="87"/>
      <c r="G64" s="87">
        <v>76100</v>
      </c>
      <c r="H64" s="59">
        <f t="shared" si="2"/>
        <v>52.48275862068965</v>
      </c>
    </row>
    <row r="65" spans="1:8" ht="48.75" customHeight="1">
      <c r="A65" s="86" t="s">
        <v>32</v>
      </c>
      <c r="B65" s="90" t="s">
        <v>35</v>
      </c>
      <c r="C65" s="59">
        <f>SUM(D65:F65)</f>
        <v>3814404.12</v>
      </c>
      <c r="D65" s="72">
        <v>10404.12</v>
      </c>
      <c r="E65" s="72">
        <v>3804000</v>
      </c>
      <c r="F65" s="87"/>
      <c r="G65" s="87">
        <v>1605400</v>
      </c>
      <c r="H65" s="59">
        <f t="shared" si="2"/>
        <v>42.0878320569767</v>
      </c>
    </row>
    <row r="66" spans="1:8" ht="35.25" customHeight="1">
      <c r="A66" s="86" t="s">
        <v>32</v>
      </c>
      <c r="B66" s="90" t="s">
        <v>36</v>
      </c>
      <c r="C66" s="59">
        <f t="shared" si="3"/>
        <v>913000</v>
      </c>
      <c r="D66" s="72"/>
      <c r="E66" s="72">
        <v>913000</v>
      </c>
      <c r="F66" s="87"/>
      <c r="G66" s="87"/>
      <c r="H66" s="59">
        <f t="shared" si="2"/>
        <v>0</v>
      </c>
    </row>
    <row r="67" spans="1:8" ht="27" customHeight="1">
      <c r="A67" s="86" t="s">
        <v>32</v>
      </c>
      <c r="B67" s="90" t="s">
        <v>37</v>
      </c>
      <c r="C67" s="59">
        <f t="shared" si="3"/>
        <v>7000</v>
      </c>
      <c r="D67" s="72"/>
      <c r="E67" s="72">
        <v>7000</v>
      </c>
      <c r="F67" s="87"/>
      <c r="G67" s="87"/>
      <c r="H67" s="59">
        <f t="shared" si="2"/>
        <v>0</v>
      </c>
    </row>
    <row r="68" spans="1:8" ht="29.25" customHeight="1">
      <c r="A68" s="86" t="s">
        <v>32</v>
      </c>
      <c r="B68" s="90" t="s">
        <v>38</v>
      </c>
      <c r="C68" s="59">
        <f t="shared" si="3"/>
        <v>505000</v>
      </c>
      <c r="D68" s="72"/>
      <c r="E68" s="72">
        <v>505000</v>
      </c>
      <c r="F68" s="87"/>
      <c r="G68" s="87">
        <v>313558</v>
      </c>
      <c r="H68" s="59">
        <f t="shared" si="2"/>
        <v>62.09069306930694</v>
      </c>
    </row>
    <row r="69" spans="1:8" ht="29.25" customHeight="1">
      <c r="A69" s="86" t="s">
        <v>32</v>
      </c>
      <c r="B69" s="90" t="s">
        <v>58</v>
      </c>
      <c r="C69" s="59">
        <f t="shared" si="3"/>
        <v>202000</v>
      </c>
      <c r="D69" s="72"/>
      <c r="E69" s="72">
        <v>202000</v>
      </c>
      <c r="F69" s="87"/>
      <c r="G69" s="87">
        <v>202000</v>
      </c>
      <c r="H69" s="59">
        <f t="shared" si="2"/>
        <v>100</v>
      </c>
    </row>
    <row r="70" spans="1:8" ht="21" customHeight="1">
      <c r="A70" s="86" t="s">
        <v>32</v>
      </c>
      <c r="B70" s="90" t="s">
        <v>39</v>
      </c>
      <c r="C70" s="59">
        <f t="shared" si="3"/>
        <v>1951000</v>
      </c>
      <c r="D70" s="72"/>
      <c r="E70" s="72">
        <v>1951000</v>
      </c>
      <c r="F70" s="87"/>
      <c r="G70" s="87">
        <v>542025</v>
      </c>
      <c r="H70" s="59">
        <f t="shared" si="2"/>
        <v>27.781906714505382</v>
      </c>
    </row>
    <row r="71" spans="1:8" ht="35.25" customHeight="1">
      <c r="A71" s="86" t="s">
        <v>32</v>
      </c>
      <c r="B71" s="90" t="s">
        <v>59</v>
      </c>
      <c r="C71" s="59">
        <f t="shared" si="3"/>
        <v>22000</v>
      </c>
      <c r="D71" s="72"/>
      <c r="E71" s="72">
        <v>22000</v>
      </c>
      <c r="F71" s="87"/>
      <c r="G71" s="87"/>
      <c r="H71" s="59">
        <f t="shared" si="2"/>
        <v>0</v>
      </c>
    </row>
    <row r="72" spans="1:8" ht="24.75" customHeight="1">
      <c r="A72" s="86" t="s">
        <v>32</v>
      </c>
      <c r="B72" s="90" t="s">
        <v>40</v>
      </c>
      <c r="C72" s="59">
        <f t="shared" si="3"/>
        <v>120000</v>
      </c>
      <c r="D72" s="72"/>
      <c r="E72" s="72">
        <v>120000</v>
      </c>
      <c r="F72" s="87"/>
      <c r="G72" s="87"/>
      <c r="H72" s="59">
        <f t="shared" si="2"/>
        <v>0</v>
      </c>
    </row>
    <row r="73" spans="1:8" ht="27" customHeight="1">
      <c r="A73" s="86" t="s">
        <v>32</v>
      </c>
      <c r="B73" s="90" t="s">
        <v>66</v>
      </c>
      <c r="C73" s="59">
        <f t="shared" si="3"/>
        <v>484826.684</v>
      </c>
      <c r="D73" s="72"/>
      <c r="E73" s="72">
        <v>188000</v>
      </c>
      <c r="F73" s="87">
        <v>296826.684</v>
      </c>
      <c r="G73" s="87"/>
      <c r="H73" s="59">
        <f t="shared" si="2"/>
        <v>0</v>
      </c>
    </row>
    <row r="74" spans="1:8" ht="33.75" customHeight="1">
      <c r="A74" s="86" t="s">
        <v>32</v>
      </c>
      <c r="B74" s="90" t="s">
        <v>41</v>
      </c>
      <c r="C74" s="59">
        <f t="shared" si="3"/>
        <v>70000</v>
      </c>
      <c r="D74" s="72"/>
      <c r="E74" s="72">
        <v>70000</v>
      </c>
      <c r="F74" s="87"/>
      <c r="G74" s="87">
        <v>70000</v>
      </c>
      <c r="H74" s="59">
        <f t="shared" si="2"/>
        <v>100</v>
      </c>
    </row>
    <row r="75" spans="1:8" ht="42" customHeight="1">
      <c r="A75" s="86" t="s">
        <v>32</v>
      </c>
      <c r="B75" s="90" t="s">
        <v>60</v>
      </c>
      <c r="C75" s="59">
        <f t="shared" si="3"/>
        <v>400000</v>
      </c>
      <c r="D75" s="72"/>
      <c r="E75" s="72">
        <v>400000</v>
      </c>
      <c r="F75" s="87"/>
      <c r="G75" s="87">
        <v>47982</v>
      </c>
      <c r="H75" s="59">
        <f>G75/C75*100</f>
        <v>11.9955</v>
      </c>
    </row>
    <row r="76" spans="1:8" ht="24" customHeight="1">
      <c r="A76" s="86" t="s">
        <v>32</v>
      </c>
      <c r="B76" s="90" t="s">
        <v>61</v>
      </c>
      <c r="C76" s="59">
        <f t="shared" si="3"/>
        <v>53000</v>
      </c>
      <c r="D76" s="72"/>
      <c r="E76" s="72">
        <v>53000</v>
      </c>
      <c r="F76" s="87"/>
      <c r="G76" s="87">
        <v>6290</v>
      </c>
      <c r="H76" s="59">
        <f t="shared" si="2"/>
        <v>11.867924528301886</v>
      </c>
    </row>
    <row r="77" spans="1:8" ht="24" customHeight="1">
      <c r="A77" s="86" t="s">
        <v>32</v>
      </c>
      <c r="B77" s="90" t="s">
        <v>62</v>
      </c>
      <c r="C77" s="59">
        <f t="shared" si="3"/>
        <v>25000</v>
      </c>
      <c r="D77" s="72"/>
      <c r="E77" s="72">
        <v>25000</v>
      </c>
      <c r="F77" s="87"/>
      <c r="G77" s="87">
        <v>25000</v>
      </c>
      <c r="H77" s="59">
        <f t="shared" si="2"/>
        <v>100</v>
      </c>
    </row>
    <row r="78" spans="1:8" ht="23.25" customHeight="1">
      <c r="A78" s="86" t="s">
        <v>32</v>
      </c>
      <c r="B78" s="90" t="s">
        <v>63</v>
      </c>
      <c r="C78" s="59">
        <f t="shared" si="3"/>
        <v>80000</v>
      </c>
      <c r="D78" s="72"/>
      <c r="E78" s="72">
        <v>80000</v>
      </c>
      <c r="F78" s="87"/>
      <c r="G78" s="87">
        <v>80000</v>
      </c>
      <c r="H78" s="59">
        <f t="shared" si="2"/>
        <v>100</v>
      </c>
    </row>
    <row r="79" spans="1:8" ht="23.25" customHeight="1">
      <c r="A79" s="86" t="s">
        <v>32</v>
      </c>
      <c r="B79" s="90" t="s">
        <v>64</v>
      </c>
      <c r="C79" s="59">
        <f t="shared" si="3"/>
        <v>3508000</v>
      </c>
      <c r="D79" s="72"/>
      <c r="E79" s="72">
        <v>1000000</v>
      </c>
      <c r="F79" s="87">
        <v>2508000</v>
      </c>
      <c r="G79" s="87"/>
      <c r="H79" s="59">
        <f t="shared" si="2"/>
        <v>0</v>
      </c>
    </row>
    <row r="80" spans="1:8" ht="22.5" customHeight="1">
      <c r="A80" s="86" t="s">
        <v>32</v>
      </c>
      <c r="B80" s="91" t="s">
        <v>67</v>
      </c>
      <c r="C80" s="59">
        <f t="shared" si="3"/>
        <v>304000</v>
      </c>
      <c r="D80" s="92"/>
      <c r="E80" s="92">
        <v>304000</v>
      </c>
      <c r="F80" s="93"/>
      <c r="G80" s="93">
        <v>40000</v>
      </c>
      <c r="H80" s="59">
        <f t="shared" si="2"/>
        <v>13.157894736842104</v>
      </c>
    </row>
    <row r="81" spans="1:8" ht="33" customHeight="1">
      <c r="A81" s="86" t="s">
        <v>32</v>
      </c>
      <c r="B81" s="91" t="s">
        <v>68</v>
      </c>
      <c r="C81" s="59">
        <f t="shared" si="3"/>
        <v>10000</v>
      </c>
      <c r="D81" s="92"/>
      <c r="E81" s="92">
        <v>10000</v>
      </c>
      <c r="F81" s="93"/>
      <c r="G81" s="93"/>
      <c r="H81" s="59">
        <f t="shared" si="2"/>
        <v>0</v>
      </c>
    </row>
    <row r="82" spans="1:8" ht="24" customHeight="1">
      <c r="A82" s="94" t="s">
        <v>32</v>
      </c>
      <c r="B82" s="91" t="s">
        <v>65</v>
      </c>
      <c r="C82" s="95">
        <f>SUM(D82:F82)</f>
        <v>600000</v>
      </c>
      <c r="D82" s="92"/>
      <c r="E82" s="92">
        <v>600000</v>
      </c>
      <c r="F82" s="93"/>
      <c r="G82" s="93">
        <v>59874</v>
      </c>
      <c r="H82" s="95">
        <f t="shared" si="2"/>
        <v>9.979000000000001</v>
      </c>
    </row>
    <row r="83" spans="1:8" ht="18" customHeight="1">
      <c r="A83" s="94" t="s">
        <v>32</v>
      </c>
      <c r="B83" s="96" t="s">
        <v>143</v>
      </c>
      <c r="C83" s="95">
        <f aca="true" t="shared" si="4" ref="C83:C91">SUM(D83:F83)</f>
        <v>1200748</v>
      </c>
      <c r="D83" s="96"/>
      <c r="E83" s="96"/>
      <c r="F83" s="87">
        <v>1200748</v>
      </c>
      <c r="G83" s="97">
        <f>F83</f>
        <v>1200748</v>
      </c>
      <c r="H83" s="95">
        <f t="shared" si="2"/>
        <v>100</v>
      </c>
    </row>
    <row r="84" spans="1:8" ht="18" customHeight="1">
      <c r="A84" s="94" t="s">
        <v>32</v>
      </c>
      <c r="B84" s="96" t="s">
        <v>144</v>
      </c>
      <c r="C84" s="95">
        <f t="shared" si="4"/>
        <v>543851</v>
      </c>
      <c r="D84" s="96"/>
      <c r="E84" s="96"/>
      <c r="F84" s="87">
        <v>543851</v>
      </c>
      <c r="G84" s="97">
        <f>F84</f>
        <v>543851</v>
      </c>
      <c r="H84" s="95">
        <f t="shared" si="2"/>
        <v>100</v>
      </c>
    </row>
    <row r="85" spans="1:8" ht="18" customHeight="1">
      <c r="A85" s="94" t="s">
        <v>32</v>
      </c>
      <c r="B85" s="96" t="s">
        <v>145</v>
      </c>
      <c r="C85" s="95">
        <f t="shared" si="4"/>
        <v>75396</v>
      </c>
      <c r="D85" s="96"/>
      <c r="E85" s="96"/>
      <c r="F85" s="87">
        <v>75396</v>
      </c>
      <c r="G85" s="98"/>
      <c r="H85" s="95">
        <f t="shared" si="2"/>
        <v>0</v>
      </c>
    </row>
    <row r="86" spans="1:8" ht="18" customHeight="1">
      <c r="A86" s="94" t="s">
        <v>32</v>
      </c>
      <c r="B86" s="96" t="s">
        <v>146</v>
      </c>
      <c r="C86" s="95">
        <f t="shared" si="4"/>
        <v>14757</v>
      </c>
      <c r="D86" s="96"/>
      <c r="E86" s="96"/>
      <c r="F86" s="87">
        <v>14757</v>
      </c>
      <c r="G86" s="98"/>
      <c r="H86" s="95">
        <f t="shared" si="2"/>
        <v>0</v>
      </c>
    </row>
    <row r="87" spans="1:8" ht="18" customHeight="1">
      <c r="A87" s="94" t="s">
        <v>32</v>
      </c>
      <c r="B87" s="96" t="s">
        <v>147</v>
      </c>
      <c r="C87" s="95">
        <f t="shared" si="4"/>
        <v>103487</v>
      </c>
      <c r="D87" s="96"/>
      <c r="E87" s="96"/>
      <c r="F87" s="87">
        <v>103487</v>
      </c>
      <c r="G87" s="98"/>
      <c r="H87" s="95">
        <f t="shared" si="2"/>
        <v>0</v>
      </c>
    </row>
    <row r="88" spans="1:8" ht="18" customHeight="1">
      <c r="A88" s="94" t="s">
        <v>32</v>
      </c>
      <c r="B88" s="96" t="s">
        <v>148</v>
      </c>
      <c r="C88" s="95">
        <f t="shared" si="4"/>
        <v>17289729</v>
      </c>
      <c r="D88" s="96"/>
      <c r="E88" s="96"/>
      <c r="F88" s="87">
        <v>17289729</v>
      </c>
      <c r="G88" s="87">
        <v>8788390</v>
      </c>
      <c r="H88" s="95">
        <f t="shared" si="2"/>
        <v>50.830120009399806</v>
      </c>
    </row>
    <row r="89" spans="1:8" ht="18" customHeight="1">
      <c r="A89" s="94" t="s">
        <v>32</v>
      </c>
      <c r="B89" s="96" t="s">
        <v>149</v>
      </c>
      <c r="C89" s="95">
        <f t="shared" si="4"/>
        <v>100000</v>
      </c>
      <c r="D89" s="96"/>
      <c r="E89" s="96"/>
      <c r="F89" s="87">
        <v>100000</v>
      </c>
      <c r="G89" s="98"/>
      <c r="H89" s="95">
        <f t="shared" si="2"/>
        <v>0</v>
      </c>
    </row>
    <row r="90" spans="1:8" ht="18" customHeight="1">
      <c r="A90" s="94" t="s">
        <v>32</v>
      </c>
      <c r="B90" s="96" t="s">
        <v>150</v>
      </c>
      <c r="C90" s="95">
        <f t="shared" si="4"/>
        <v>11049480</v>
      </c>
      <c r="D90" s="96"/>
      <c r="E90" s="96"/>
      <c r="F90" s="87">
        <v>11049480</v>
      </c>
      <c r="G90" s="98"/>
      <c r="H90" s="95">
        <f t="shared" si="2"/>
        <v>0</v>
      </c>
    </row>
    <row r="91" spans="1:8" ht="18" customHeight="1">
      <c r="A91" s="99" t="s">
        <v>32</v>
      </c>
      <c r="B91" s="100" t="s">
        <v>151</v>
      </c>
      <c r="C91" s="101">
        <f t="shared" si="4"/>
        <v>464010</v>
      </c>
      <c r="D91" s="100"/>
      <c r="E91" s="100"/>
      <c r="F91" s="102">
        <v>464010</v>
      </c>
      <c r="G91" s="103">
        <f>F91</f>
        <v>464010</v>
      </c>
      <c r="H91" s="101">
        <f t="shared" si="2"/>
        <v>100</v>
      </c>
    </row>
    <row r="92" ht="15">
      <c r="F92" s="104"/>
    </row>
    <row r="93" ht="15">
      <c r="F93" s="104"/>
    </row>
    <row r="94" ht="15">
      <c r="F94" s="104"/>
    </row>
    <row r="95" ht="15">
      <c r="F95" s="104"/>
    </row>
    <row r="96" ht="15">
      <c r="F96" s="104"/>
    </row>
    <row r="97" ht="15">
      <c r="F97" s="104"/>
    </row>
    <row r="98" ht="15">
      <c r="F98" s="104"/>
    </row>
    <row r="99" ht="15">
      <c r="F99" s="104"/>
    </row>
    <row r="100" ht="15">
      <c r="F100" s="104"/>
    </row>
    <row r="101" ht="15">
      <c r="F101" s="104"/>
    </row>
    <row r="102" ht="15">
      <c r="F102" s="104"/>
    </row>
    <row r="103" ht="15">
      <c r="F103" s="104"/>
    </row>
    <row r="104" ht="15">
      <c r="F104" s="104"/>
    </row>
    <row r="105" ht="15">
      <c r="F105" s="104"/>
    </row>
    <row r="106" ht="15">
      <c r="F106" s="104"/>
    </row>
    <row r="107" ht="15">
      <c r="F107" s="104"/>
    </row>
    <row r="108" ht="15">
      <c r="F108" s="104"/>
    </row>
    <row r="109" ht="15">
      <c r="F109" s="104"/>
    </row>
    <row r="110" ht="15">
      <c r="F110" s="104"/>
    </row>
    <row r="111" ht="15">
      <c r="F111" s="104"/>
    </row>
    <row r="112" ht="15">
      <c r="F112" s="104"/>
    </row>
    <row r="113" ht="15">
      <c r="F113" s="104"/>
    </row>
    <row r="114" ht="15">
      <c r="F114" s="104"/>
    </row>
    <row r="115" ht="15">
      <c r="F115" s="104"/>
    </row>
    <row r="116" ht="15">
      <c r="F116" s="63"/>
    </row>
  </sheetData>
  <sheetProtection/>
  <mergeCells count="13"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0.25390625" style="31" customWidth="1"/>
    <col min="5" max="5" width="12.75390625" style="31" customWidth="1"/>
    <col min="6" max="6" width="11.625" style="31" customWidth="1"/>
    <col min="7" max="7" width="11.50390625" style="31" customWidth="1"/>
    <col min="8" max="8" width="9.75390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469" t="s">
        <v>102</v>
      </c>
      <c r="H1" s="469"/>
    </row>
    <row r="2" spans="1:8" ht="41.25" customHeight="1">
      <c r="A2" s="470" t="s">
        <v>103</v>
      </c>
      <c r="B2" s="470"/>
      <c r="C2" s="470"/>
      <c r="D2" s="470"/>
      <c r="E2" s="470"/>
      <c r="F2" s="470"/>
      <c r="G2" s="470"/>
      <c r="H2" s="470"/>
    </row>
    <row r="3" spans="1:8" ht="20.25" customHeight="1">
      <c r="A3" s="485" t="s">
        <v>92</v>
      </c>
      <c r="B3" s="485"/>
      <c r="C3" s="485"/>
      <c r="D3" s="485"/>
      <c r="E3" s="485"/>
      <c r="F3" s="485"/>
      <c r="G3" s="485"/>
      <c r="H3" s="485"/>
    </row>
    <row r="4" spans="1:8" ht="19.5" customHeight="1">
      <c r="A4" s="471" t="s">
        <v>55</v>
      </c>
      <c r="B4" s="471"/>
      <c r="C4" s="471"/>
      <c r="D4" s="471"/>
      <c r="E4" s="471"/>
      <c r="F4" s="471"/>
      <c r="G4" s="471"/>
      <c r="H4" s="471"/>
    </row>
    <row r="5" spans="1:8" ht="17.25" customHeight="1">
      <c r="A5" s="472" t="s">
        <v>0</v>
      </c>
      <c r="B5" s="472" t="s">
        <v>6</v>
      </c>
      <c r="C5" s="473" t="s">
        <v>52</v>
      </c>
      <c r="D5" s="526"/>
      <c r="E5" s="526"/>
      <c r="F5" s="474"/>
      <c r="G5" s="479" t="s">
        <v>105</v>
      </c>
      <c r="H5" s="479" t="s">
        <v>42</v>
      </c>
    </row>
    <row r="6" spans="1:8" ht="29.25" customHeight="1">
      <c r="A6" s="472"/>
      <c r="B6" s="472"/>
      <c r="C6" s="524" t="s">
        <v>1</v>
      </c>
      <c r="D6" s="524" t="s">
        <v>49</v>
      </c>
      <c r="E6" s="524" t="s">
        <v>50</v>
      </c>
      <c r="F6" s="524" t="s">
        <v>2</v>
      </c>
      <c r="G6" s="480"/>
      <c r="H6" s="480"/>
    </row>
    <row r="7" spans="1:8" ht="37.5" customHeight="1">
      <c r="A7" s="472"/>
      <c r="B7" s="472"/>
      <c r="C7" s="525"/>
      <c r="D7" s="525"/>
      <c r="E7" s="525"/>
      <c r="F7" s="525"/>
      <c r="G7" s="481"/>
      <c r="H7" s="481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G5:G7"/>
    <mergeCell ref="H5:H7"/>
    <mergeCell ref="C6:C7"/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24" customWidth="1"/>
    <col min="2" max="2" width="25.625" style="224" customWidth="1"/>
    <col min="3" max="3" width="17.625" style="224" customWidth="1"/>
    <col min="4" max="4" width="14.50390625" style="224" customWidth="1"/>
    <col min="5" max="5" width="16.50390625" style="224" customWidth="1"/>
    <col min="6" max="6" width="17.25390625" style="224" customWidth="1"/>
    <col min="7" max="7" width="16.25390625" style="224" customWidth="1"/>
    <col min="8" max="16384" width="9.00390625" style="224" customWidth="1"/>
  </cols>
  <sheetData>
    <row r="3" spans="1:6" ht="26.25" customHeight="1">
      <c r="A3" s="527" t="s">
        <v>296</v>
      </c>
      <c r="B3" s="528"/>
      <c r="C3" s="528"/>
      <c r="D3" s="528"/>
      <c r="E3" s="528"/>
      <c r="F3" s="528"/>
    </row>
    <row r="4" spans="1:6" ht="15.75">
      <c r="A4" s="225"/>
      <c r="B4" s="233"/>
      <c r="C4" s="233"/>
      <c r="D4" s="233"/>
      <c r="E4" s="233"/>
      <c r="F4" s="234" t="s">
        <v>155</v>
      </c>
    </row>
    <row r="5" spans="1:6" ht="21.75" customHeight="1">
      <c r="A5" s="529" t="s">
        <v>0</v>
      </c>
      <c r="B5" s="529" t="s">
        <v>116</v>
      </c>
      <c r="C5" s="529" t="s">
        <v>94</v>
      </c>
      <c r="D5" s="529" t="s">
        <v>279</v>
      </c>
      <c r="E5" s="532" t="s">
        <v>280</v>
      </c>
      <c r="F5" s="533"/>
    </row>
    <row r="6" spans="1:6" ht="21.75" customHeight="1">
      <c r="A6" s="530"/>
      <c r="B6" s="530"/>
      <c r="C6" s="531"/>
      <c r="D6" s="530"/>
      <c r="E6" s="226" t="s">
        <v>281</v>
      </c>
      <c r="F6" s="226" t="s">
        <v>282</v>
      </c>
    </row>
    <row r="7" spans="1:6" ht="24.75" customHeight="1">
      <c r="A7" s="227"/>
      <c r="B7" s="227" t="s">
        <v>279</v>
      </c>
      <c r="C7" s="228">
        <f>C8+C20</f>
        <v>5946378875</v>
      </c>
      <c r="D7" s="228">
        <f>D8+D20</f>
        <v>0</v>
      </c>
      <c r="E7" s="228">
        <f>E8+E20</f>
        <v>5638401129</v>
      </c>
      <c r="F7" s="228">
        <f>F8+F20</f>
        <v>307977746</v>
      </c>
    </row>
    <row r="8" spans="1:6" ht="24.75" customHeight="1">
      <c r="A8" s="227" t="s">
        <v>283</v>
      </c>
      <c r="B8" s="236" t="s">
        <v>284</v>
      </c>
      <c r="C8" s="237">
        <f>SUM(C9:C19)</f>
        <v>3412269429</v>
      </c>
      <c r="D8" s="237">
        <f>SUM(D9:D19)</f>
        <v>0</v>
      </c>
      <c r="E8" s="229">
        <f>SUM(E9:E19)</f>
        <v>3112980626</v>
      </c>
      <c r="F8" s="229">
        <f>SUM(F10:F19)</f>
        <v>299288803</v>
      </c>
    </row>
    <row r="9" spans="1:6" ht="24.75" customHeight="1">
      <c r="A9" s="238">
        <v>1</v>
      </c>
      <c r="B9" s="239" t="s">
        <v>285</v>
      </c>
      <c r="C9" s="240">
        <f>SUM(D9:F9)</f>
        <v>561172480</v>
      </c>
      <c r="D9" s="232"/>
      <c r="E9" s="232">
        <f>217597618+13304550+330270312</f>
        <v>561172480</v>
      </c>
      <c r="F9" s="232"/>
    </row>
    <row r="10" spans="1:6" ht="24.75" customHeight="1">
      <c r="A10" s="238">
        <v>2</v>
      </c>
      <c r="B10" s="239" t="s">
        <v>286</v>
      </c>
      <c r="C10" s="240">
        <f aca="true" t="shared" si="0" ref="C10:C25">SUM(D10:F10)</f>
        <v>299426513</v>
      </c>
      <c r="D10" s="232"/>
      <c r="E10" s="232">
        <v>248083513</v>
      </c>
      <c r="F10" s="232">
        <v>51343000</v>
      </c>
    </row>
    <row r="11" spans="1:6" ht="24.75" customHeight="1">
      <c r="A11" s="238">
        <v>3</v>
      </c>
      <c r="B11" s="239" t="s">
        <v>287</v>
      </c>
      <c r="C11" s="240">
        <f t="shared" si="0"/>
        <v>0</v>
      </c>
      <c r="D11" s="241"/>
      <c r="E11" s="230"/>
      <c r="F11" s="230"/>
    </row>
    <row r="12" spans="1:6" ht="24.75" customHeight="1">
      <c r="A12" s="238">
        <v>4</v>
      </c>
      <c r="B12" s="242" t="s">
        <v>291</v>
      </c>
      <c r="C12" s="240">
        <f t="shared" si="0"/>
        <v>562503167</v>
      </c>
      <c r="D12" s="232"/>
      <c r="E12" s="232">
        <f>13588700+548914467</f>
        <v>562503167</v>
      </c>
      <c r="F12" s="232"/>
    </row>
    <row r="13" spans="1:6" ht="24.75" customHeight="1">
      <c r="A13" s="238">
        <v>5</v>
      </c>
      <c r="B13" s="242" t="s">
        <v>292</v>
      </c>
      <c r="C13" s="240">
        <f t="shared" si="0"/>
        <v>21512042</v>
      </c>
      <c r="D13" s="232"/>
      <c r="E13" s="232">
        <f>13442200+8069842</f>
        <v>21512042</v>
      </c>
      <c r="F13" s="230"/>
    </row>
    <row r="14" spans="1:6" ht="24.75" customHeight="1">
      <c r="A14" s="238"/>
      <c r="B14" s="242" t="s">
        <v>288</v>
      </c>
      <c r="C14" s="240">
        <f t="shared" si="0"/>
        <v>0</v>
      </c>
      <c r="D14" s="232"/>
      <c r="E14" s="230"/>
      <c r="F14" s="230"/>
    </row>
    <row r="15" spans="1:6" ht="24.75" customHeight="1">
      <c r="A15" s="238">
        <v>6</v>
      </c>
      <c r="B15" s="242" t="s">
        <v>126</v>
      </c>
      <c r="C15" s="240">
        <f t="shared" si="0"/>
        <v>1382585040</v>
      </c>
      <c r="D15" s="232"/>
      <c r="E15" s="232">
        <v>1340543820</v>
      </c>
      <c r="F15" s="232">
        <v>42041220</v>
      </c>
    </row>
    <row r="16" spans="1:6" ht="24.75" customHeight="1">
      <c r="A16" s="238">
        <v>7</v>
      </c>
      <c r="B16" s="239" t="s">
        <v>124</v>
      </c>
      <c r="C16" s="240">
        <f t="shared" si="0"/>
        <v>192886205</v>
      </c>
      <c r="D16" s="232"/>
      <c r="E16" s="232">
        <v>71263545</v>
      </c>
      <c r="F16" s="232">
        <v>121622660</v>
      </c>
    </row>
    <row r="17" spans="1:6" ht="24.75" customHeight="1">
      <c r="A17" s="238">
        <v>8</v>
      </c>
      <c r="B17" s="239" t="s">
        <v>295</v>
      </c>
      <c r="C17" s="240">
        <f t="shared" si="0"/>
        <v>0</v>
      </c>
      <c r="D17" s="241"/>
      <c r="E17" s="230"/>
      <c r="F17" s="230"/>
    </row>
    <row r="18" spans="1:6" ht="24.75" customHeight="1">
      <c r="A18" s="238">
        <v>9</v>
      </c>
      <c r="B18" s="239" t="s">
        <v>135</v>
      </c>
      <c r="C18" s="240">
        <f t="shared" si="0"/>
        <v>392183982</v>
      </c>
      <c r="D18" s="232"/>
      <c r="E18" s="232">
        <v>307902059</v>
      </c>
      <c r="F18" s="232">
        <v>84281923</v>
      </c>
    </row>
    <row r="19" spans="1:6" ht="24.75" customHeight="1">
      <c r="A19" s="238">
        <v>10</v>
      </c>
      <c r="B19" s="239" t="s">
        <v>289</v>
      </c>
      <c r="C19" s="240">
        <f t="shared" si="0"/>
        <v>0</v>
      </c>
      <c r="D19" s="241">
        <f>SUM(E19:F19)</f>
        <v>0</v>
      </c>
      <c r="E19" s="230"/>
      <c r="F19" s="230"/>
    </row>
    <row r="20" spans="1:6" ht="24.75" customHeight="1">
      <c r="A20" s="227" t="s">
        <v>5</v>
      </c>
      <c r="B20" s="236" t="s">
        <v>290</v>
      </c>
      <c r="C20" s="237">
        <f>SUM(C21:C25)</f>
        <v>2534109446</v>
      </c>
      <c r="D20" s="237">
        <f>SUM(D21:D25)</f>
        <v>0</v>
      </c>
      <c r="E20" s="231">
        <f>SUM(E21:E25)</f>
        <v>2525420503</v>
      </c>
      <c r="F20" s="231">
        <f>SUM(F21:F25)</f>
        <v>8688943</v>
      </c>
    </row>
    <row r="21" spans="1:6" ht="33.75" customHeight="1">
      <c r="A21" s="238">
        <v>1</v>
      </c>
      <c r="B21" s="243" t="s">
        <v>297</v>
      </c>
      <c r="C21" s="240">
        <f t="shared" si="0"/>
        <v>0</v>
      </c>
      <c r="D21" s="241"/>
      <c r="E21" s="230"/>
      <c r="F21" s="230"/>
    </row>
    <row r="22" spans="1:6" ht="24.75" customHeight="1">
      <c r="A22" s="238">
        <v>2</v>
      </c>
      <c r="B22" s="242" t="s">
        <v>129</v>
      </c>
      <c r="C22" s="240">
        <f t="shared" si="0"/>
        <v>0</v>
      </c>
      <c r="D22" s="241"/>
      <c r="E22" s="230"/>
      <c r="F22" s="230"/>
    </row>
    <row r="23" spans="1:6" ht="24.75" customHeight="1">
      <c r="A23" s="238">
        <v>3</v>
      </c>
      <c r="B23" s="239" t="s">
        <v>293</v>
      </c>
      <c r="C23" s="240">
        <f t="shared" si="0"/>
        <v>9752546</v>
      </c>
      <c r="D23" s="232"/>
      <c r="E23" s="232">
        <v>1063603</v>
      </c>
      <c r="F23" s="232">
        <v>8688943</v>
      </c>
    </row>
    <row r="24" spans="1:6" ht="24.75" customHeight="1">
      <c r="A24" s="238">
        <v>4</v>
      </c>
      <c r="B24" s="239" t="s">
        <v>132</v>
      </c>
      <c r="C24" s="240">
        <f t="shared" si="0"/>
        <v>2524356900</v>
      </c>
      <c r="D24" s="232"/>
      <c r="E24" s="232">
        <v>2524356900</v>
      </c>
      <c r="F24" s="230"/>
    </row>
    <row r="25" spans="1:6" ht="24.75" customHeight="1">
      <c r="A25" s="238">
        <v>5</v>
      </c>
      <c r="B25" s="239" t="s">
        <v>294</v>
      </c>
      <c r="C25" s="240">
        <f t="shared" si="0"/>
        <v>0</v>
      </c>
      <c r="D25" s="241"/>
      <c r="E25" s="235"/>
      <c r="F25" s="235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Admin</cp:lastModifiedBy>
  <cp:lastPrinted>2023-10-06T02:22:45Z</cp:lastPrinted>
  <dcterms:created xsi:type="dcterms:W3CDTF">2019-05-14T02:08:00Z</dcterms:created>
  <dcterms:modified xsi:type="dcterms:W3CDTF">2023-10-10T07:02:36Z</dcterms:modified>
  <cp:category/>
  <cp:version/>
  <cp:contentType/>
  <cp:contentStatus/>
</cp:coreProperties>
</file>